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740"/>
  </bookViews>
  <sheets>
    <sheet name="2013 отчет сод" sheetId="3" r:id="rId1"/>
    <sheet name="отчет 2013" sheetId="2" r:id="rId2"/>
    <sheet name="на 2014" sheetId="1" r:id="rId3"/>
  </sheets>
  <externalReferences>
    <externalReference r:id="rId4"/>
    <externalReference r:id="rId5"/>
    <externalReference r:id="rId6"/>
    <externalReference r:id="rId7"/>
  </externalReferences>
  <calcPr calcId="145621" refMode="R1C1"/>
</workbook>
</file>

<file path=xl/calcChain.xml><?xml version="1.0" encoding="utf-8"?>
<calcChain xmlns="http://schemas.openxmlformats.org/spreadsheetml/2006/main">
  <c r="C16" i="1" l="1"/>
  <c r="F15" i="1"/>
  <c r="F6" i="1"/>
  <c r="F7" i="1"/>
  <c r="F8" i="1"/>
  <c r="F9" i="1"/>
  <c r="F10" i="1"/>
  <c r="C11" i="1"/>
  <c r="F11" i="1" s="1"/>
  <c r="F13" i="1"/>
  <c r="F14" i="1"/>
  <c r="F16" i="1"/>
  <c r="C18" i="1"/>
  <c r="F18" i="1" s="1"/>
  <c r="F19" i="1"/>
  <c r="F22" i="1"/>
  <c r="F23" i="1"/>
  <c r="F26" i="1"/>
  <c r="C27" i="1"/>
  <c r="F27" i="1" s="1"/>
  <c r="C28" i="1"/>
  <c r="F28" i="1" s="1"/>
  <c r="C29" i="1"/>
  <c r="F29" i="1" s="1"/>
  <c r="C30" i="1"/>
  <c r="F30" i="1" s="1"/>
  <c r="C31" i="1"/>
  <c r="F31" i="1" s="1"/>
  <c r="C32" i="1"/>
  <c r="F32" i="1" s="1"/>
  <c r="F33" i="1"/>
  <c r="H31" i="3"/>
  <c r="G31" i="3"/>
  <c r="F31" i="3"/>
  <c r="F30" i="3"/>
  <c r="C29" i="3"/>
  <c r="H29" i="3" s="1"/>
  <c r="G28" i="3"/>
  <c r="G33" i="3" s="1"/>
  <c r="C28" i="3"/>
  <c r="F28" i="3" s="1"/>
  <c r="F27" i="3"/>
  <c r="C27" i="3"/>
  <c r="H27" i="3" s="1"/>
  <c r="C26" i="3"/>
  <c r="H26" i="3" s="1"/>
  <c r="F25" i="3"/>
  <c r="C25" i="3"/>
  <c r="H25" i="3" s="1"/>
  <c r="F24" i="3"/>
  <c r="C24" i="3"/>
  <c r="C33" i="3" s="1"/>
  <c r="F33" i="3" s="1"/>
  <c r="H23" i="3"/>
  <c r="F23" i="3"/>
  <c r="H22" i="3"/>
  <c r="G20" i="3"/>
  <c r="H20" i="3" s="1"/>
  <c r="C20" i="3"/>
  <c r="C21" i="3" s="1"/>
  <c r="F21" i="3" s="1"/>
  <c r="G19" i="3"/>
  <c r="G21" i="3" s="1"/>
  <c r="H21" i="3" s="1"/>
  <c r="F19" i="3"/>
  <c r="H18" i="3"/>
  <c r="C17" i="3"/>
  <c r="F17" i="3" s="1"/>
  <c r="G16" i="3"/>
  <c r="G17" i="3" s="1"/>
  <c r="H17" i="3" s="1"/>
  <c r="F16" i="3"/>
  <c r="H15" i="3"/>
  <c r="G14" i="3"/>
  <c r="H14" i="3" s="1"/>
  <c r="C14" i="3"/>
  <c r="F14" i="3" s="1"/>
  <c r="F13" i="3"/>
  <c r="H12" i="3"/>
  <c r="F12" i="3"/>
  <c r="H11" i="3"/>
  <c r="F10" i="3"/>
  <c r="C10" i="3"/>
  <c r="C34" i="3" s="1"/>
  <c r="F9" i="3"/>
  <c r="H8" i="3"/>
  <c r="F8" i="3"/>
  <c r="H7" i="3"/>
  <c r="F7" i="3"/>
  <c r="G6" i="3"/>
  <c r="G10" i="3" s="1"/>
  <c r="F6" i="3"/>
  <c r="G28" i="2"/>
  <c r="G27" i="2"/>
  <c r="G21" i="2"/>
  <c r="D21" i="2"/>
  <c r="I21" i="2" s="1"/>
  <c r="C21" i="2"/>
  <c r="G20" i="2"/>
  <c r="E20" i="2"/>
  <c r="D20" i="2"/>
  <c r="I20" i="2" s="1"/>
  <c r="C20" i="2"/>
  <c r="G19" i="2"/>
  <c r="E19" i="2"/>
  <c r="I19" i="2" s="1"/>
  <c r="C19" i="2"/>
  <c r="G18" i="2"/>
  <c r="E18" i="2"/>
  <c r="I18" i="2" s="1"/>
  <c r="C18" i="2"/>
  <c r="G17" i="2"/>
  <c r="E17" i="2"/>
  <c r="I17" i="2" s="1"/>
  <c r="C17" i="2"/>
  <c r="G16" i="2"/>
  <c r="E16" i="2"/>
  <c r="I16" i="2" s="1"/>
  <c r="C16" i="2"/>
  <c r="I15" i="2"/>
  <c r="G15" i="2"/>
  <c r="C15" i="2"/>
  <c r="H14" i="2"/>
  <c r="G14" i="2"/>
  <c r="F14" i="2"/>
  <c r="E14" i="2"/>
  <c r="D14" i="2"/>
  <c r="I14" i="2" s="1"/>
  <c r="C14" i="2"/>
  <c r="G13" i="2"/>
  <c r="E13" i="2"/>
  <c r="I13" i="2" s="1"/>
  <c r="C13" i="2"/>
  <c r="G12" i="2"/>
  <c r="E12" i="2"/>
  <c r="I12" i="2" s="1"/>
  <c r="D12" i="2"/>
  <c r="C12" i="2"/>
  <c r="G11" i="2"/>
  <c r="E11" i="2"/>
  <c r="I11" i="2" s="1"/>
  <c r="C11" i="2"/>
  <c r="H10" i="2"/>
  <c r="H22" i="2" s="1"/>
  <c r="G10" i="2"/>
  <c r="F10" i="2"/>
  <c r="F22" i="2" s="1"/>
  <c r="G24" i="2" s="1"/>
  <c r="E10" i="2"/>
  <c r="D10" i="2"/>
  <c r="C10" i="2"/>
  <c r="G9" i="2"/>
  <c r="E9" i="2"/>
  <c r="E22" i="2" s="1"/>
  <c r="D9" i="2"/>
  <c r="D22" i="2" s="1"/>
  <c r="E6" i="2"/>
  <c r="F5" i="2"/>
  <c r="E5" i="2"/>
  <c r="C20" i="1" l="1"/>
  <c r="F20" i="1" s="1"/>
  <c r="C34" i="1"/>
  <c r="F34" i="1" s="1"/>
  <c r="C24" i="1"/>
  <c r="F24" i="1" s="1"/>
  <c r="I10" i="2"/>
  <c r="G34" i="3"/>
  <c r="H10" i="3"/>
  <c r="F34" i="3"/>
  <c r="H6" i="3"/>
  <c r="H16" i="3"/>
  <c r="H19" i="3"/>
  <c r="F20" i="3"/>
  <c r="H24" i="3"/>
  <c r="F26" i="3"/>
  <c r="H28" i="3"/>
  <c r="F29" i="3"/>
  <c r="J22" i="2"/>
  <c r="G22" i="2"/>
  <c r="J21" i="2" s="1"/>
  <c r="C9" i="2"/>
  <c r="C22" i="2" s="1"/>
  <c r="I9" i="2"/>
  <c r="I22" i="2" s="1"/>
  <c r="G26" i="2" s="1"/>
  <c r="G29" i="2" s="1"/>
  <c r="C35" i="1" l="1"/>
  <c r="F35" i="1" s="1"/>
  <c r="G23" i="2"/>
  <c r="G25" i="2" s="1"/>
</calcChain>
</file>

<file path=xl/comments1.xml><?xml version="1.0" encoding="utf-8"?>
<comments xmlns="http://schemas.openxmlformats.org/spreadsheetml/2006/main">
  <authors>
    <author>admin</author>
  </authors>
  <commentList>
    <comment ref="I17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январь 2013прошел  в отчете </t>
        </r>
      </text>
    </comment>
    <comment ref="D21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кв 22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с мая 2013г100*8
с января 2014г 150
</t>
        </r>
      </text>
    </comment>
  </commentList>
</comments>
</file>

<file path=xl/sharedStrings.xml><?xml version="1.0" encoding="utf-8"?>
<sst xmlns="http://schemas.openxmlformats.org/spreadsheetml/2006/main" count="171" uniqueCount="96">
  <si>
    <t xml:space="preserve">Расчет </t>
  </si>
  <si>
    <t>предложений по обслуживанию мжд №7 по ул. Чапаева</t>
  </si>
  <si>
    <t xml:space="preserve">на 2014год </t>
  </si>
  <si>
    <t>№ п/п</t>
  </si>
  <si>
    <t>Вид работ</t>
  </si>
  <si>
    <t>Ориент.стоимость, рублей</t>
  </si>
  <si>
    <t>Вид обслуживания</t>
  </si>
  <si>
    <t>расчет на 1 кв.м в месяц</t>
  </si>
  <si>
    <t>Сантехнические работы</t>
  </si>
  <si>
    <t>Запуск отопления (ревизия,опрессовка,испытание) СО  при необходимости замена. ремонт)</t>
  </si>
  <si>
    <t>то</t>
  </si>
  <si>
    <t>Ревизия арматуры ХВС в тех.подвале (при необходимости замена)</t>
  </si>
  <si>
    <t>Смена вентилей ХВС, ГВС в квартирах по заявкам</t>
  </si>
  <si>
    <t xml:space="preserve">Ревизия,опрессовка,испытание ГВС  </t>
  </si>
  <si>
    <t>Монтаж КС в подвале</t>
  </si>
  <si>
    <t>тр</t>
  </si>
  <si>
    <t>Итого по разделу</t>
  </si>
  <si>
    <t>Электротехнические работы</t>
  </si>
  <si>
    <t xml:space="preserve">Монтаж кабельканалов электроснабжения </t>
  </si>
  <si>
    <t>Ревизия электрооборудования 1 раз</t>
  </si>
  <si>
    <t>Общестроительные работы</t>
  </si>
  <si>
    <t>Проверка вентканалов</t>
  </si>
  <si>
    <t>Ремонт отмостки</t>
  </si>
  <si>
    <t>Благоустройство  и санитарное содержание</t>
  </si>
  <si>
    <t>Уборка придомовой территории</t>
  </si>
  <si>
    <t>Уборка подъезда</t>
  </si>
  <si>
    <t>Прочие работы, услуги</t>
  </si>
  <si>
    <t>Проверка лифтового оборудования и экспертиза</t>
  </si>
  <si>
    <t>Оплата управляющей компании</t>
  </si>
  <si>
    <t>Оплата председателю совета дома</t>
  </si>
  <si>
    <t>Оплата членам совета дома</t>
  </si>
  <si>
    <t xml:space="preserve">АДС </t>
  </si>
  <si>
    <t>услуги по изготовлению платежных счетов</t>
  </si>
  <si>
    <t>услуги по ведению паспортного учёта</t>
  </si>
  <si>
    <t>Аварийные (непредвиденные работы)</t>
  </si>
  <si>
    <t>Всего расходов</t>
  </si>
  <si>
    <t>Отчет</t>
  </si>
  <si>
    <t>финансового состояния</t>
  </si>
  <si>
    <t>дома №7 по ул. Чапаева</t>
  </si>
  <si>
    <t>за февраль 2013-январь 2014 год</t>
  </si>
  <si>
    <t>Сальдо на 01.02.2013 по оплате</t>
  </si>
  <si>
    <t>КРЦ</t>
  </si>
  <si>
    <t>Сальдо на 01.02.2013 по поставщикам</t>
  </si>
  <si>
    <t>услуга</t>
  </si>
  <si>
    <t>№ строки</t>
  </si>
  <si>
    <t>Выставлено поставщиками услуг актов на сумму</t>
  </si>
  <si>
    <t>Принято услуг от  поставщиков  на сумму</t>
  </si>
  <si>
    <t>Начислено по платежкам с разбивкой по услугам</t>
  </si>
  <si>
    <t>Начислено по платежкам  АНО КРЦ</t>
  </si>
  <si>
    <t>оплачено населением</t>
  </si>
  <si>
    <t>оплачено населением АНО КРЦ</t>
  </si>
  <si>
    <t>сальдо предъявлено-начислено</t>
  </si>
  <si>
    <t>Содержание ОИМД</t>
  </si>
  <si>
    <t xml:space="preserve">Гор.вода </t>
  </si>
  <si>
    <t>Водоотведение</t>
  </si>
  <si>
    <t>Водоснабжение</t>
  </si>
  <si>
    <t>Вывоз мусора</t>
  </si>
  <si>
    <t>Отопление</t>
  </si>
  <si>
    <t>ТО домофона</t>
  </si>
  <si>
    <t>лифт</t>
  </si>
  <si>
    <t>Антенна</t>
  </si>
  <si>
    <t xml:space="preserve">электроэнергия </t>
  </si>
  <si>
    <t>комис. Сбор</t>
  </si>
  <si>
    <t>Пени</t>
  </si>
  <si>
    <t>Судебные расходы</t>
  </si>
  <si>
    <t>Всего</t>
  </si>
  <si>
    <t>Задолженность  жителей по оплате (гр.6-гр.8) за 2013год</t>
  </si>
  <si>
    <t>Задолженность  жителей по оплате за 2013год (АНО КРЦ)</t>
  </si>
  <si>
    <t xml:space="preserve">Задолженность  жителей по оплате на 01.02.2014год </t>
  </si>
  <si>
    <t>Задолженность жителей по предоставленным услугам на 01.02.2014год</t>
  </si>
  <si>
    <t>Дополнительный доход от договора с ОАО "Ростелеком"</t>
  </si>
  <si>
    <t>Дополнительный доход от договора с ИП "Трахнова А.В."</t>
  </si>
  <si>
    <t>Задолженность жителей по предоставленным услугам на 01.01.2013год с учётом дохода</t>
  </si>
  <si>
    <t>Генеральный директор ООО "УК"Перспектива"</t>
  </si>
  <si>
    <t>Тягина Л.В.</t>
  </si>
  <si>
    <t xml:space="preserve">на 2013год </t>
  </si>
  <si>
    <t>Срок исполнения</t>
  </si>
  <si>
    <t>расчет на 1 кв.м площади в месяц</t>
  </si>
  <si>
    <t>факт</t>
  </si>
  <si>
    <t>итог</t>
  </si>
  <si>
    <t>Запуск отопления (ревизия,опрессовка,испытание) СО  при необходимости замена. ремонт, консервация</t>
  </si>
  <si>
    <t>июль-сентябрь</t>
  </si>
  <si>
    <t>сентябрь-ноябрь</t>
  </si>
  <si>
    <t>по необходимости</t>
  </si>
  <si>
    <t>март</t>
  </si>
  <si>
    <t>выпол</t>
  </si>
  <si>
    <t>май-сентябрь</t>
  </si>
  <si>
    <t>февраль</t>
  </si>
  <si>
    <t>Проверка вентканалов, прочис</t>
  </si>
  <si>
    <t>апрель (декабрь)</t>
  </si>
  <si>
    <t>Уборка придомовой территории + эксплуат. Мусоропров</t>
  </si>
  <si>
    <t>ежемесячно</t>
  </si>
  <si>
    <t>июнь</t>
  </si>
  <si>
    <t>Доначисление за 2012 год</t>
  </si>
  <si>
    <t>Установка почт. Ящиков (оплата январь, установка февраль)</t>
  </si>
  <si>
    <t>Установка датчиков движения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</si>
</sst>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-* #,##0_р_._-;\-* #,##0_р_._-;_-* &quot;-&quot;??_р_._-;_-@_-"/>
    <numFmt numFmtId="165" formatCode="_(* #,##0.00_);_(* \(#,##0.00\);_(* &quot;-&quot;??_);_(@_)"/>
    <numFmt numFmtId="166" formatCode="0.0%"/>
    <numFmt numFmtId="167" formatCode="0.0000"/>
    <numFmt numFmtId="168" formatCode="0.000"/>
    <numFmt numFmtId="169" formatCode="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4"/>
      <color indexed="63"/>
      <name val="Arial"/>
      <family val="2"/>
      <charset val="204"/>
    </font>
    <font>
      <i/>
      <sz val="14"/>
      <color indexed="63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 Cyr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4"/>
      <name val="Arial"/>
      <family val="2"/>
      <charset val="204"/>
    </font>
    <font>
      <i/>
      <sz val="12"/>
      <name val="Arial"/>
      <family val="2"/>
      <charset val="204"/>
    </font>
    <font>
      <i/>
      <sz val="14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 Cyr"/>
      <charset val="204"/>
    </font>
    <font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Font="1" applyFill="1" applyBorder="1"/>
    <xf numFmtId="0" fontId="0" fillId="0" borderId="1" xfId="0" applyBorder="1"/>
    <xf numFmtId="0" fontId="1" fillId="0" borderId="2" xfId="1" applyBorder="1"/>
    <xf numFmtId="0" fontId="1" fillId="0" borderId="2" xfId="1" applyFont="1" applyBorder="1" applyAlignment="1">
      <alignment wrapText="1"/>
    </xf>
    <xf numFmtId="0" fontId="1" fillId="0" borderId="2" xfId="1" applyBorder="1" applyAlignment="1">
      <alignment wrapText="1"/>
    </xf>
    <xf numFmtId="0" fontId="1" fillId="0" borderId="3" xfId="1" applyFont="1" applyBorder="1" applyAlignment="1">
      <alignment wrapText="1"/>
    </xf>
    <xf numFmtId="0" fontId="0" fillId="0" borderId="4" xfId="0" applyBorder="1"/>
    <xf numFmtId="0" fontId="0" fillId="0" borderId="8" xfId="0" applyBorder="1"/>
    <xf numFmtId="0" fontId="0" fillId="2" borderId="9" xfId="0" applyFill="1" applyBorder="1" applyAlignment="1">
      <alignment horizontal="left" vertical="justify" wrapText="1"/>
    </xf>
    <xf numFmtId="3" fontId="1" fillId="2" borderId="9" xfId="1" applyNumberFormat="1" applyFill="1" applyBorder="1" applyAlignment="1">
      <alignment horizontal="center" vertical="justify" wrapText="1"/>
    </xf>
    <xf numFmtId="0" fontId="1" fillId="2" borderId="9" xfId="1" applyFill="1" applyBorder="1" applyAlignment="1">
      <alignment horizontal="center" vertical="justify"/>
    </xf>
    <xf numFmtId="2" fontId="1" fillId="2" borderId="10" xfId="1" applyNumberFormat="1" applyFont="1" applyFill="1" applyBorder="1" applyAlignment="1">
      <alignment horizontal="center" vertical="justify"/>
    </xf>
    <xf numFmtId="0" fontId="0" fillId="2" borderId="11" xfId="0" applyFill="1" applyBorder="1" applyAlignment="1">
      <alignment horizontal="left" vertical="justify" wrapText="1"/>
    </xf>
    <xf numFmtId="3" fontId="1" fillId="2" borderId="11" xfId="1" applyNumberFormat="1" applyFill="1" applyBorder="1" applyAlignment="1">
      <alignment horizontal="center" vertical="justify" wrapText="1"/>
    </xf>
    <xf numFmtId="0" fontId="1" fillId="2" borderId="11" xfId="1" applyFill="1" applyBorder="1" applyAlignment="1">
      <alignment horizontal="center" vertical="justify"/>
    </xf>
    <xf numFmtId="0" fontId="1" fillId="2" borderId="11" xfId="1" applyFont="1" applyFill="1" applyBorder="1" applyAlignment="1">
      <alignment horizontal="left" vertical="justify" wrapText="1"/>
    </xf>
    <xf numFmtId="0" fontId="3" fillId="3" borderId="12" xfId="1" applyFont="1" applyFill="1" applyBorder="1" applyAlignment="1">
      <alignment wrapText="1"/>
    </xf>
    <xf numFmtId="164" fontId="3" fillId="3" borderId="12" xfId="2" applyNumberFormat="1" applyFont="1" applyFill="1" applyBorder="1" applyAlignment="1">
      <alignment horizontal="center" wrapText="1"/>
    </xf>
    <xf numFmtId="0" fontId="3" fillId="3" borderId="11" xfId="1" applyFont="1" applyFill="1" applyBorder="1" applyAlignment="1">
      <alignment horizontal="center" wrapText="1"/>
    </xf>
    <xf numFmtId="0" fontId="0" fillId="0" borderId="12" xfId="1" applyFont="1" applyBorder="1"/>
    <xf numFmtId="3" fontId="1" fillId="0" borderId="12" xfId="1" applyNumberFormat="1" applyFont="1" applyBorder="1" applyAlignment="1">
      <alignment horizontal="center" wrapText="1"/>
    </xf>
    <xf numFmtId="0" fontId="1" fillId="0" borderId="12" xfId="1" applyBorder="1" applyAlignment="1">
      <alignment wrapText="1"/>
    </xf>
    <xf numFmtId="0" fontId="3" fillId="0" borderId="9" xfId="1" applyFont="1" applyBorder="1" applyAlignment="1">
      <alignment wrapText="1"/>
    </xf>
    <xf numFmtId="164" fontId="3" fillId="0" borderId="9" xfId="2" applyNumberFormat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2" fontId="1" fillId="2" borderId="10" xfId="1" applyNumberFormat="1" applyFont="1" applyFill="1" applyBorder="1" applyAlignment="1">
      <alignment horizontal="center" vertical="center"/>
    </xf>
    <xf numFmtId="0" fontId="1" fillId="0" borderId="11" xfId="1" applyFont="1" applyBorder="1" applyAlignment="1">
      <alignment horizontal="left" vertical="justify" wrapText="1"/>
    </xf>
    <xf numFmtId="3" fontId="1" fillId="0" borderId="11" xfId="1" applyNumberFormat="1" applyBorder="1" applyAlignment="1">
      <alignment horizontal="center" vertical="center"/>
    </xf>
    <xf numFmtId="0" fontId="0" fillId="0" borderId="11" xfId="1" applyFont="1" applyBorder="1"/>
    <xf numFmtId="3" fontId="1" fillId="0" borderId="11" xfId="1" applyNumberFormat="1" applyFont="1" applyBorder="1" applyAlignment="1">
      <alignment horizontal="center" wrapText="1"/>
    </xf>
    <xf numFmtId="0" fontId="1" fillId="0" borderId="11" xfId="1" applyBorder="1" applyAlignment="1">
      <alignment wrapText="1"/>
    </xf>
    <xf numFmtId="0" fontId="1" fillId="2" borderId="11" xfId="1" applyFill="1" applyBorder="1" applyAlignment="1">
      <alignment horizontal="left" vertical="justify" wrapText="1"/>
    </xf>
    <xf numFmtId="3" fontId="1" fillId="2" borderId="11" xfId="1" applyNumberFormat="1" applyFill="1" applyBorder="1" applyAlignment="1">
      <alignment horizontal="center" vertical="justify"/>
    </xf>
    <xf numFmtId="2" fontId="1" fillId="2" borderId="16" xfId="1" applyNumberFormat="1" applyFont="1" applyFill="1" applyBorder="1" applyAlignment="1">
      <alignment horizontal="center" vertical="justify"/>
    </xf>
    <xf numFmtId="0" fontId="0" fillId="2" borderId="11" xfId="1" applyFont="1" applyFill="1" applyBorder="1" applyAlignment="1">
      <alignment horizontal="left" vertical="justify" wrapText="1"/>
    </xf>
    <xf numFmtId="0" fontId="0" fillId="2" borderId="11" xfId="1" applyFont="1" applyFill="1" applyBorder="1" applyAlignment="1">
      <alignment horizontal="center" vertical="justify"/>
    </xf>
    <xf numFmtId="0" fontId="1" fillId="0" borderId="11" xfId="1" applyBorder="1"/>
    <xf numFmtId="1" fontId="1" fillId="0" borderId="11" xfId="1" applyNumberFormat="1" applyFill="1" applyBorder="1" applyAlignment="1">
      <alignment horizontal="center" wrapText="1"/>
    </xf>
    <xf numFmtId="0" fontId="0" fillId="0" borderId="9" xfId="0" applyBorder="1" applyAlignment="1"/>
    <xf numFmtId="1" fontId="1" fillId="0" borderId="11" xfId="1" applyNumberFormat="1" applyFont="1" applyBorder="1" applyAlignment="1">
      <alignment horizontal="center" wrapText="1"/>
    </xf>
    <xf numFmtId="0" fontId="1" fillId="0" borderId="11" xfId="1" applyFont="1" applyBorder="1"/>
    <xf numFmtId="1" fontId="1" fillId="0" borderId="11" xfId="1" applyNumberFormat="1" applyFont="1" applyFill="1" applyBorder="1" applyAlignment="1">
      <alignment horizontal="center" wrapText="1"/>
    </xf>
    <xf numFmtId="0" fontId="1" fillId="0" borderId="11" xfId="0" applyFont="1" applyBorder="1" applyAlignment="1">
      <alignment horizontal="left" vertical="justify" wrapText="1"/>
    </xf>
    <xf numFmtId="3" fontId="1" fillId="2" borderId="11" xfId="1" applyNumberFormat="1" applyFont="1" applyFill="1" applyBorder="1" applyAlignment="1">
      <alignment horizontal="center" vertical="justify"/>
    </xf>
    <xf numFmtId="0" fontId="0" fillId="0" borderId="18" xfId="0" applyBorder="1"/>
    <xf numFmtId="0" fontId="0" fillId="2" borderId="12" xfId="1" applyFont="1" applyFill="1" applyBorder="1" applyAlignment="1">
      <alignment horizontal="left" vertical="justify" wrapText="1"/>
    </xf>
    <xf numFmtId="3" fontId="1" fillId="2" borderId="12" xfId="1" applyNumberFormat="1" applyFill="1" applyBorder="1" applyAlignment="1">
      <alignment horizontal="center" vertical="justify"/>
    </xf>
    <xf numFmtId="0" fontId="1" fillId="2" borderId="12" xfId="1" applyFill="1" applyBorder="1" applyAlignment="1">
      <alignment horizontal="center" vertical="justify"/>
    </xf>
    <xf numFmtId="0" fontId="0" fillId="0" borderId="19" xfId="0" applyBorder="1"/>
    <xf numFmtId="0" fontId="4" fillId="2" borderId="20" xfId="1" applyFont="1" applyFill="1" applyBorder="1" applyAlignment="1">
      <alignment horizontal="left" vertical="justify" wrapText="1"/>
    </xf>
    <xf numFmtId="164" fontId="2" fillId="2" borderId="21" xfId="2" applyNumberFormat="1" applyFont="1" applyFill="1" applyBorder="1" applyAlignment="1">
      <alignment horizontal="center" vertical="justify"/>
    </xf>
    <xf numFmtId="2" fontId="5" fillId="2" borderId="22" xfId="1" applyNumberFormat="1" applyFont="1" applyFill="1" applyBorder="1" applyAlignment="1">
      <alignment horizontal="center" vertical="justify"/>
    </xf>
    <xf numFmtId="43" fontId="0" fillId="0" borderId="0" xfId="0" applyNumberFormat="1"/>
    <xf numFmtId="0" fontId="0" fillId="0" borderId="11" xfId="1" applyFont="1" applyBorder="1" applyAlignment="1">
      <alignment horizontal="left" vertical="justify" wrapText="1"/>
    </xf>
    <xf numFmtId="0" fontId="0" fillId="0" borderId="2" xfId="1" applyFont="1" applyBorder="1" applyAlignment="1">
      <alignment wrapText="1"/>
    </xf>
    <xf numFmtId="0" fontId="0" fillId="0" borderId="17" xfId="0" applyBorder="1"/>
    <xf numFmtId="3" fontId="0" fillId="0" borderId="11" xfId="1" applyNumberFormat="1" applyFont="1" applyBorder="1" applyAlignment="1">
      <alignment horizontal="center" vertical="center"/>
    </xf>
    <xf numFmtId="164" fontId="0" fillId="0" borderId="0" xfId="0" applyNumberFormat="1"/>
    <xf numFmtId="0" fontId="6" fillId="0" borderId="0" xfId="3"/>
    <xf numFmtId="0" fontId="7" fillId="0" borderId="0" xfId="3" applyFont="1"/>
    <xf numFmtId="0" fontId="8" fillId="0" borderId="0" xfId="3" applyFont="1" applyAlignment="1">
      <alignment horizontal="center"/>
    </xf>
    <xf numFmtId="0" fontId="9" fillId="0" borderId="0" xfId="3" applyFont="1" applyFill="1" applyBorder="1" applyAlignment="1"/>
    <xf numFmtId="0" fontId="10" fillId="0" borderId="0" xfId="3" applyFont="1"/>
    <xf numFmtId="2" fontId="10" fillId="0" borderId="0" xfId="3" applyNumberFormat="1" applyFont="1" applyAlignment="1">
      <alignment horizontal="center"/>
    </xf>
    <xf numFmtId="2" fontId="10" fillId="0" borderId="13" xfId="3" applyNumberFormat="1" applyFont="1" applyBorder="1" applyAlignment="1">
      <alignment horizontal="center"/>
    </xf>
    <xf numFmtId="0" fontId="10" fillId="0" borderId="24" xfId="3" applyFont="1" applyBorder="1"/>
    <xf numFmtId="2" fontId="11" fillId="0" borderId="0" xfId="3" applyNumberFormat="1" applyFont="1" applyFill="1" applyBorder="1" applyAlignment="1">
      <alignment horizontal="center"/>
    </xf>
    <xf numFmtId="0" fontId="10" fillId="0" borderId="0" xfId="3" applyFont="1" applyAlignment="1">
      <alignment horizontal="right"/>
    </xf>
    <xf numFmtId="0" fontId="11" fillId="0" borderId="1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 wrapText="1"/>
    </xf>
    <xf numFmtId="0" fontId="10" fillId="0" borderId="23" xfId="3" applyFont="1" applyBorder="1" applyAlignment="1">
      <alignment wrapText="1"/>
    </xf>
    <xf numFmtId="0" fontId="12" fillId="0" borderId="8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0" fillId="0" borderId="8" xfId="3" applyFont="1" applyBorder="1"/>
    <xf numFmtId="0" fontId="13" fillId="0" borderId="11" xfId="3" applyFont="1" applyBorder="1" applyAlignment="1">
      <alignment horizontal="center"/>
    </xf>
    <xf numFmtId="2" fontId="10" fillId="3" borderId="11" xfId="3" applyNumberFormat="1" applyFont="1" applyFill="1" applyBorder="1" applyAlignment="1">
      <alignment horizontal="center"/>
    </xf>
    <xf numFmtId="2" fontId="14" fillId="3" borderId="11" xfId="3" applyNumberFormat="1" applyFont="1" applyFill="1" applyBorder="1"/>
    <xf numFmtId="2" fontId="15" fillId="3" borderId="11" xfId="3" applyNumberFormat="1" applyFont="1" applyFill="1" applyBorder="1"/>
    <xf numFmtId="0" fontId="16" fillId="3" borderId="11" xfId="3" applyNumberFormat="1" applyFont="1" applyFill="1" applyBorder="1" applyAlignment="1">
      <alignment horizontal="center"/>
    </xf>
    <xf numFmtId="2" fontId="14" fillId="3" borderId="11" xfId="5" applyNumberFormat="1" applyFont="1" applyFill="1" applyBorder="1"/>
    <xf numFmtId="2" fontId="6" fillId="0" borderId="0" xfId="3" applyNumberFormat="1"/>
    <xf numFmtId="2" fontId="10" fillId="3" borderId="11" xfId="3" applyNumberFormat="1" applyFont="1" applyFill="1" applyBorder="1"/>
    <xf numFmtId="2" fontId="16" fillId="3" borderId="11" xfId="3" applyNumberFormat="1" applyFont="1" applyFill="1" applyBorder="1"/>
    <xf numFmtId="2" fontId="16" fillId="3" borderId="11" xfId="3" applyNumberFormat="1" applyFont="1" applyFill="1" applyBorder="1" applyAlignment="1">
      <alignment horizontal="center"/>
    </xf>
    <xf numFmtId="0" fontId="10" fillId="3" borderId="11" xfId="3" applyNumberFormat="1" applyFont="1" applyFill="1" applyBorder="1" applyAlignment="1">
      <alignment horizontal="center"/>
    </xf>
    <xf numFmtId="2" fontId="10" fillId="3" borderId="11" xfId="5" applyNumberFormat="1" applyFont="1" applyFill="1" applyBorder="1" applyAlignment="1">
      <alignment horizontal="center"/>
    </xf>
    <xf numFmtId="0" fontId="10" fillId="0" borderId="28" xfId="3" applyFont="1" applyBorder="1" applyAlignment="1">
      <alignment wrapText="1"/>
    </xf>
    <xf numFmtId="0" fontId="13" fillId="0" borderId="12" xfId="3" applyFont="1" applyBorder="1" applyAlignment="1">
      <alignment horizontal="center"/>
    </xf>
    <xf numFmtId="2" fontId="10" fillId="3" borderId="12" xfId="3" applyNumberFormat="1" applyFont="1" applyFill="1" applyBorder="1" applyAlignment="1">
      <alignment horizontal="center"/>
    </xf>
    <xf numFmtId="0" fontId="10" fillId="0" borderId="28" xfId="3" applyFont="1" applyBorder="1"/>
    <xf numFmtId="2" fontId="10" fillId="3" borderId="12" xfId="3" applyNumberFormat="1" applyFont="1" applyFill="1" applyBorder="1"/>
    <xf numFmtId="2" fontId="16" fillId="3" borderId="12" xfId="3" applyNumberFormat="1" applyFont="1" applyFill="1" applyBorder="1"/>
    <xf numFmtId="2" fontId="16" fillId="3" borderId="12" xfId="3" applyNumberFormat="1" applyFont="1" applyFill="1" applyBorder="1" applyAlignment="1">
      <alignment horizontal="center"/>
    </xf>
    <xf numFmtId="166" fontId="0" fillId="2" borderId="0" xfId="4" applyNumberFormat="1" applyFont="1" applyFill="1" applyAlignment="1">
      <alignment horizontal="center"/>
    </xf>
    <xf numFmtId="0" fontId="11" fillId="0" borderId="29" xfId="3" applyFont="1" applyBorder="1"/>
    <xf numFmtId="0" fontId="13" fillId="0" borderId="30" xfId="3" applyFont="1" applyBorder="1" applyAlignment="1">
      <alignment horizontal="center"/>
    </xf>
    <xf numFmtId="2" fontId="9" fillId="2" borderId="30" xfId="3" applyNumberFormat="1" applyFont="1" applyFill="1" applyBorder="1" applyAlignment="1">
      <alignment horizontal="center"/>
    </xf>
    <xf numFmtId="0" fontId="5" fillId="2" borderId="13" xfId="3" applyFont="1" applyFill="1" applyBorder="1" applyAlignment="1">
      <alignment horizontal="left"/>
    </xf>
    <xf numFmtId="0" fontId="5" fillId="2" borderId="14" xfId="3" applyFont="1" applyFill="1" applyBorder="1"/>
    <xf numFmtId="2" fontId="9" fillId="2" borderId="24" xfId="5" applyNumberFormat="1" applyFont="1" applyFill="1" applyBorder="1" applyAlignment="1">
      <alignment horizontal="right"/>
    </xf>
    <xf numFmtId="164" fontId="17" fillId="2" borderId="0" xfId="5" applyNumberFormat="1" applyFont="1" applyFill="1" applyBorder="1" applyAlignment="1">
      <alignment horizontal="right"/>
    </xf>
    <xf numFmtId="0" fontId="18" fillId="2" borderId="0" xfId="3" applyFont="1" applyFill="1"/>
    <xf numFmtId="0" fontId="6" fillId="2" borderId="0" xfId="3" applyFill="1"/>
    <xf numFmtId="2" fontId="19" fillId="2" borderId="24" xfId="3" applyNumberFormat="1" applyFont="1" applyFill="1" applyBorder="1" applyAlignment="1"/>
    <xf numFmtId="164" fontId="20" fillId="2" borderId="0" xfId="3" applyNumberFormat="1" applyFont="1" applyFill="1" applyBorder="1" applyAlignment="1"/>
    <xf numFmtId="0" fontId="5" fillId="0" borderId="13" xfId="3" applyFont="1" applyFill="1" applyBorder="1"/>
    <xf numFmtId="0" fontId="5" fillId="0" borderId="14" xfId="3" applyFont="1" applyFill="1" applyBorder="1"/>
    <xf numFmtId="2" fontId="17" fillId="2" borderId="24" xfId="3" applyNumberFormat="1" applyFont="1" applyFill="1" applyBorder="1" applyAlignment="1">
      <alignment horizontal="center"/>
    </xf>
    <xf numFmtId="1" fontId="17" fillId="2" borderId="0" xfId="3" applyNumberFormat="1" applyFont="1" applyFill="1" applyBorder="1" applyAlignment="1">
      <alignment horizontal="center"/>
    </xf>
    <xf numFmtId="0" fontId="7" fillId="2" borderId="31" xfId="3" applyFont="1" applyFill="1" applyBorder="1"/>
    <xf numFmtId="0" fontId="5" fillId="2" borderId="32" xfId="3" applyFont="1" applyFill="1" applyBorder="1"/>
    <xf numFmtId="0" fontId="5" fillId="0" borderId="32" xfId="3" applyFont="1" applyFill="1" applyBorder="1"/>
    <xf numFmtId="2" fontId="21" fillId="2" borderId="33" xfId="3" applyNumberFormat="1" applyFont="1" applyFill="1" applyBorder="1"/>
    <xf numFmtId="1" fontId="22" fillId="2" borderId="0" xfId="3" applyNumberFormat="1" applyFont="1" applyFill="1" applyBorder="1"/>
    <xf numFmtId="2" fontId="21" fillId="2" borderId="32" xfId="3" applyNumberFormat="1" applyFont="1" applyFill="1" applyBorder="1"/>
    <xf numFmtId="0" fontId="11" fillId="0" borderId="14" xfId="3" applyFont="1" applyFill="1" applyBorder="1"/>
    <xf numFmtId="2" fontId="23" fillId="2" borderId="24" xfId="3" applyNumberFormat="1" applyFont="1" applyFill="1" applyBorder="1"/>
    <xf numFmtId="1" fontId="23" fillId="2" borderId="0" xfId="3" applyNumberFormat="1" applyFont="1" applyFill="1" applyBorder="1"/>
    <xf numFmtId="2" fontId="21" fillId="2" borderId="0" xfId="3" applyNumberFormat="1" applyFont="1" applyFill="1"/>
    <xf numFmtId="0" fontId="5" fillId="0" borderId="0" xfId="3" applyFont="1" applyFill="1" applyBorder="1"/>
    <xf numFmtId="0" fontId="5" fillId="0" borderId="0" xfId="3" applyFont="1"/>
    <xf numFmtId="0" fontId="0" fillId="0" borderId="1" xfId="0" applyBorder="1" applyAlignment="1">
      <alignment wrapText="1"/>
    </xf>
    <xf numFmtId="0" fontId="26" fillId="0" borderId="34" xfId="1" applyFont="1" applyBorder="1" applyAlignment="1">
      <alignment wrapText="1"/>
    </xf>
    <xf numFmtId="0" fontId="27" fillId="0" borderId="11" xfId="0" applyFont="1" applyBorder="1"/>
    <xf numFmtId="0" fontId="0" fillId="0" borderId="11" xfId="0" applyFont="1" applyBorder="1"/>
    <xf numFmtId="3" fontId="0" fillId="2" borderId="9" xfId="1" applyNumberFormat="1" applyFont="1" applyFill="1" applyBorder="1" applyAlignment="1">
      <alignment horizontal="center" vertical="justify" wrapText="1"/>
    </xf>
    <xf numFmtId="2" fontId="1" fillId="2" borderId="35" xfId="1" applyNumberFormat="1" applyFont="1" applyFill="1" applyBorder="1" applyAlignment="1">
      <alignment horizontal="center" vertical="justify"/>
    </xf>
    <xf numFmtId="2" fontId="0" fillId="4" borderId="11" xfId="0" applyNumberFormat="1" applyFont="1" applyFill="1" applyBorder="1"/>
    <xf numFmtId="3" fontId="0" fillId="2" borderId="11" xfId="1" applyNumberFormat="1" applyFont="1" applyFill="1" applyBorder="1" applyAlignment="1">
      <alignment horizontal="center" vertical="justify" wrapText="1"/>
    </xf>
    <xf numFmtId="2" fontId="0" fillId="5" borderId="11" xfId="0" applyNumberFormat="1" applyFont="1" applyFill="1" applyBorder="1"/>
    <xf numFmtId="2" fontId="0" fillId="0" borderId="11" xfId="0" applyNumberFormat="1" applyFont="1" applyBorder="1"/>
    <xf numFmtId="164" fontId="1" fillId="0" borderId="9" xfId="2" applyNumberFormat="1" applyFont="1" applyBorder="1" applyAlignment="1">
      <alignment wrapText="1"/>
    </xf>
    <xf numFmtId="164" fontId="0" fillId="0" borderId="9" xfId="2" applyNumberFormat="1" applyFont="1" applyBorder="1" applyAlignment="1">
      <alignment wrapText="1"/>
    </xf>
    <xf numFmtId="2" fontId="1" fillId="2" borderId="35" xfId="1" applyNumberFormat="1" applyFont="1" applyFill="1" applyBorder="1" applyAlignment="1">
      <alignment horizontal="center" vertical="center"/>
    </xf>
    <xf numFmtId="3" fontId="0" fillId="2" borderId="11" xfId="1" applyNumberFormat="1" applyFont="1" applyFill="1" applyBorder="1" applyAlignment="1">
      <alignment horizontal="center" vertical="justify"/>
    </xf>
    <xf numFmtId="2" fontId="1" fillId="2" borderId="13" xfId="1" applyNumberFormat="1" applyFont="1" applyFill="1" applyBorder="1" applyAlignment="1">
      <alignment horizontal="center" vertical="justify"/>
    </xf>
    <xf numFmtId="1" fontId="0" fillId="0" borderId="11" xfId="1" applyNumberFormat="1" applyFont="1" applyFill="1" applyBorder="1" applyAlignment="1">
      <alignment horizontal="center" wrapText="1"/>
    </xf>
    <xf numFmtId="9" fontId="4" fillId="0" borderId="0" xfId="6" applyFont="1"/>
    <xf numFmtId="1" fontId="0" fillId="0" borderId="11" xfId="1" applyNumberFormat="1" applyFont="1" applyBorder="1" applyAlignment="1">
      <alignment horizontal="center" wrapText="1"/>
    </xf>
    <xf numFmtId="2" fontId="4" fillId="5" borderId="11" xfId="0" applyNumberFormat="1" applyFont="1" applyFill="1" applyBorder="1"/>
    <xf numFmtId="0" fontId="0" fillId="0" borderId="11" xfId="0" applyFont="1" applyBorder="1" applyAlignment="1">
      <alignment horizontal="left" vertical="justify" wrapText="1"/>
    </xf>
    <xf numFmtId="168" fontId="0" fillId="0" borderId="0" xfId="0" applyNumberFormat="1"/>
    <xf numFmtId="0" fontId="27" fillId="0" borderId="12" xfId="0" applyFont="1" applyBorder="1"/>
    <xf numFmtId="2" fontId="1" fillId="2" borderId="30" xfId="1" applyNumberFormat="1" applyFont="1" applyFill="1" applyBorder="1" applyAlignment="1">
      <alignment horizontal="center" vertical="justify"/>
    </xf>
    <xf numFmtId="2" fontId="4" fillId="0" borderId="11" xfId="0" applyNumberFormat="1" applyFont="1" applyFill="1" applyBorder="1"/>
    <xf numFmtId="43" fontId="0" fillId="0" borderId="0" xfId="0" applyNumberFormat="1" applyFill="1"/>
    <xf numFmtId="2" fontId="1" fillId="0" borderId="0" xfId="1" applyNumberFormat="1" applyFont="1" applyFill="1" applyBorder="1" applyAlignment="1">
      <alignment horizontal="center" vertical="justify"/>
    </xf>
    <xf numFmtId="0" fontId="0" fillId="0" borderId="0" xfId="0" applyFill="1"/>
    <xf numFmtId="169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167" fontId="0" fillId="0" borderId="0" xfId="0" applyNumberFormat="1" applyFill="1" applyBorder="1"/>
    <xf numFmtId="167" fontId="0" fillId="0" borderId="0" xfId="0" applyNumberFormat="1" applyBorder="1"/>
    <xf numFmtId="0" fontId="0" fillId="0" borderId="4" xfId="0" applyFill="1" applyBorder="1"/>
    <xf numFmtId="0" fontId="0" fillId="0" borderId="8" xfId="0" applyFill="1" applyBorder="1"/>
    <xf numFmtId="0" fontId="0" fillId="0" borderId="17" xfId="0" applyFill="1" applyBorder="1"/>
    <xf numFmtId="0" fontId="0" fillId="0" borderId="11" xfId="0" applyFill="1" applyBorder="1"/>
    <xf numFmtId="0" fontId="0" fillId="0" borderId="18" xfId="0" applyFill="1" applyBorder="1"/>
    <xf numFmtId="0" fontId="0" fillId="0" borderId="5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0" fillId="0" borderId="13" xfId="1" applyFont="1" applyBorder="1" applyAlignment="1">
      <alignment horizontal="center" vertical="justify" wrapText="1"/>
    </xf>
    <xf numFmtId="0" fontId="1" fillId="0" borderId="14" xfId="1" applyFont="1" applyBorder="1" applyAlignment="1">
      <alignment horizontal="center" vertical="justify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0" fillId="0" borderId="7" xfId="1" applyFont="1" applyBorder="1" applyAlignment="1">
      <alignment horizontal="center"/>
    </xf>
    <xf numFmtId="0" fontId="0" fillId="0" borderId="14" xfId="1" applyFont="1" applyBorder="1" applyAlignment="1">
      <alignment horizontal="center" vertical="justify" wrapText="1"/>
    </xf>
    <xf numFmtId="0" fontId="0" fillId="0" borderId="15" xfId="1" applyFont="1" applyBorder="1" applyAlignment="1">
      <alignment horizontal="center" vertical="justify" wrapText="1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Обычный" xfId="0" builtinId="0"/>
    <cellStyle name="Обычный 2" xfId="3"/>
    <cellStyle name="Обычный_отчет по начислению 16" xfId="1"/>
    <cellStyle name="Процентный 2" xfId="4"/>
    <cellStyle name="Процентный 3" xfId="6"/>
    <cellStyle name="Финансовый 2" xfId="5"/>
    <cellStyle name="Финансовый_отчет по начислению 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&#1084;&#1086;&#1080;%20&#1076;&#1086;&#1082;&#1091;&#1084;&#1077;&#1085;&#1090;&#1099;\&#1076;&#1086;&#1084;&#1072;\&#1063;&#1040;&#1055;&#1040;&#1045;&#1042;&#1040;%207\&#1086;&#1090;&#1095;&#1077;&#1090;%20&#1095;&#1072;&#1087;&#1072;&#1077;&#1074;&#1072;%207%20&#1059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&#1084;&#1086;&#1080;%20&#1076;&#1086;&#1082;&#1091;&#1084;&#1077;&#1085;&#1090;&#1099;\&#1076;&#1080;&#1089;&#1082;%20&#1089;\Documents%20and%20Settings\1\&#1052;&#1086;&#1080;%20&#1076;&#1086;&#1082;&#1091;&#1084;&#1077;&#1085;&#1090;&#1099;\&#1076;&#1086;&#1084;&#1072;\&#1087;&#1088;&#1086;&#1084;&#1077;&#1078;%20&#1091;&#1082;\&#1087;&#1088;&#1086;&#1084;&#1077;&#1078;&#1091;&#1090;&#1086;&#1095;&#1085;&#1099;-13%20(&#1040;&#1074;&#1090;&#1086;&#1089;&#1086;&#1093;&#1088;&#1072;&#1085;&#1077;&#1085;&#1085;&#1099;&#1081;)%20(&#1040;&#1074;&#1090;&#1086;&#1089;&#1086;&#1093;&#1088;&#1072;&#1085;&#1077;&#1085;&#1085;&#1099;&#1081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&#1084;&#1086;&#1080;%20&#1076;&#1086;&#1082;&#1091;&#1084;&#1077;&#1085;&#1090;&#1099;\&#1076;&#1080;&#1089;&#1082;%20&#1089;\Documents%20and%20Settings\1\&#1052;&#1086;&#1080;%20&#1076;&#1086;&#1082;&#1091;&#1084;&#1077;&#1085;&#1090;&#1099;\&#1076;&#1086;&#1084;&#1072;\&#1087;&#1088;&#1086;&#1084;&#1077;&#1078;%20&#1091;&#1082;\&#1087;&#1088;&#1086;&#1084;&#1077;&#1078;&#1091;&#1090;&#1086;&#1095;&#1085;&#1099;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\&#1084;&#1086;&#1080;%20&#1076;&#1086;&#1082;&#1091;&#1084;&#1077;&#1085;&#1090;&#1099;\&#1076;&#1080;&#1089;&#1082;%20&#1089;\Documents%20and%20Settings\1\&#1052;&#1086;&#1080;%20&#1076;&#1086;&#1082;&#1091;&#1084;&#1077;&#1085;&#1090;&#1099;\&#1090;&#1077;&#1083;&#1077;&#1092;&#1086;&#1085;&#1085;&#1099;&#1081;%20&#1089;&#1087;&#1088;&#1072;&#1074;&#1086;&#1095;&#1085;&#108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2012 (2)"/>
      <sheetName val="отчет 2013"/>
    </sheetNames>
    <sheetDataSet>
      <sheetData sheetId="0">
        <row r="23">
          <cell r="G23">
            <v>67444.64000000013</v>
          </cell>
        </row>
        <row r="24">
          <cell r="G24">
            <v>121151.86999999988</v>
          </cell>
        </row>
        <row r="27">
          <cell r="G27">
            <v>28342.059999999918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ислено"/>
      <sheetName val="оплата"/>
    </sheetNames>
    <sheetDataSet>
      <sheetData sheetId="0">
        <row r="35">
          <cell r="B35">
            <v>750.92</v>
          </cell>
          <cell r="U35">
            <v>7981.58</v>
          </cell>
        </row>
        <row r="36">
          <cell r="B36">
            <v>4304.91</v>
          </cell>
          <cell r="U36">
            <v>26806.400000000001</v>
          </cell>
        </row>
        <row r="37">
          <cell r="B37">
            <v>22943.35</v>
          </cell>
          <cell r="U37">
            <v>294884.61</v>
          </cell>
        </row>
        <row r="38">
          <cell r="B38">
            <v>16197.9</v>
          </cell>
          <cell r="U38">
            <v>226693.97999999998</v>
          </cell>
        </row>
        <row r="40">
          <cell r="B40">
            <v>1548.82</v>
          </cell>
          <cell r="U40">
            <v>3097.64</v>
          </cell>
        </row>
        <row r="41">
          <cell r="B41">
            <v>10168</v>
          </cell>
          <cell r="U41">
            <v>112932.31</v>
          </cell>
        </row>
        <row r="42">
          <cell r="B42">
            <v>5677.91</v>
          </cell>
          <cell r="U42">
            <v>63376.160000000003</v>
          </cell>
        </row>
        <row r="44">
          <cell r="B44">
            <v>4144</v>
          </cell>
          <cell r="U44">
            <v>49728</v>
          </cell>
        </row>
        <row r="45">
          <cell r="B45">
            <v>3158.95</v>
          </cell>
          <cell r="U45">
            <v>39579.199999999997</v>
          </cell>
        </row>
        <row r="46">
          <cell r="B46">
            <v>70749.66</v>
          </cell>
          <cell r="U46">
            <v>880446.29999999993</v>
          </cell>
        </row>
        <row r="47">
          <cell r="B47">
            <v>104</v>
          </cell>
          <cell r="U47">
            <v>1196</v>
          </cell>
        </row>
        <row r="48">
          <cell r="B48">
            <v>27.5</v>
          </cell>
          <cell r="U48">
            <v>689.43999999999994</v>
          </cell>
        </row>
      </sheetData>
      <sheetData sheetId="1">
        <row r="38">
          <cell r="B38">
            <v>499.2</v>
          </cell>
          <cell r="U38">
            <v>-0.79999999999995453</v>
          </cell>
        </row>
        <row r="39">
          <cell r="B39">
            <v>4391.97</v>
          </cell>
          <cell r="U39">
            <v>31700</v>
          </cell>
        </row>
        <row r="41">
          <cell r="B41">
            <v>28296.44</v>
          </cell>
          <cell r="U41">
            <v>297585.01</v>
          </cell>
        </row>
        <row r="42">
          <cell r="B42">
            <v>14714.74</v>
          </cell>
          <cell r="U42">
            <v>220052.16</v>
          </cell>
        </row>
        <row r="43">
          <cell r="B43">
            <v>887.36</v>
          </cell>
          <cell r="U43">
            <v>8383</v>
          </cell>
        </row>
        <row r="44">
          <cell r="B44">
            <v>1837.05</v>
          </cell>
          <cell r="U44">
            <v>5432.8099999999995</v>
          </cell>
        </row>
        <row r="45">
          <cell r="B45">
            <v>12375.3</v>
          </cell>
          <cell r="U45">
            <v>116188.29000000001</v>
          </cell>
        </row>
        <row r="46">
          <cell r="B46">
            <v>6801.88</v>
          </cell>
          <cell r="U46">
            <v>64635.619999999995</v>
          </cell>
        </row>
        <row r="47">
          <cell r="B47">
            <v>22.8</v>
          </cell>
          <cell r="U47">
            <v>52.510000000000005</v>
          </cell>
        </row>
        <row r="48">
          <cell r="B48">
            <v>4678.88</v>
          </cell>
          <cell r="U48">
            <v>51078.21</v>
          </cell>
        </row>
        <row r="49">
          <cell r="B49">
            <v>3895.44</v>
          </cell>
          <cell r="U49">
            <v>40304.5</v>
          </cell>
        </row>
        <row r="50">
          <cell r="B50">
            <v>69034.179999999993</v>
          </cell>
          <cell r="U50">
            <v>874544.7</v>
          </cell>
        </row>
        <row r="51">
          <cell r="B51">
            <v>111.25</v>
          </cell>
          <cell r="U51">
            <v>1183.23</v>
          </cell>
        </row>
        <row r="52">
          <cell r="B52">
            <v>7.08</v>
          </cell>
          <cell r="U52">
            <v>440.73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ислено"/>
      <sheetName val="оплата"/>
    </sheetNames>
    <sheetDataSet>
      <sheetData sheetId="0">
        <row r="28">
          <cell r="B28">
            <v>2251.96</v>
          </cell>
        </row>
        <row r="29">
          <cell r="B29">
            <v>42887.48</v>
          </cell>
        </row>
        <row r="30">
          <cell r="B30">
            <v>22321.33</v>
          </cell>
        </row>
        <row r="31">
          <cell r="B31">
            <v>9542.69</v>
          </cell>
        </row>
        <row r="32">
          <cell r="B32">
            <v>5692.14</v>
          </cell>
        </row>
        <row r="33">
          <cell r="B33">
            <v>4144</v>
          </cell>
        </row>
        <row r="34">
          <cell r="B34">
            <v>3360</v>
          </cell>
        </row>
        <row r="35">
          <cell r="B35">
            <v>79260.83</v>
          </cell>
        </row>
        <row r="36">
          <cell r="B36">
            <v>97.5</v>
          </cell>
        </row>
        <row r="37">
          <cell r="B37">
            <v>37.630000000000003</v>
          </cell>
        </row>
      </sheetData>
      <sheetData sheetId="1">
        <row r="32">
          <cell r="B32">
            <v>200</v>
          </cell>
        </row>
        <row r="33">
          <cell r="B33">
            <v>177.25</v>
          </cell>
        </row>
        <row r="35">
          <cell r="B35">
            <v>29749.67</v>
          </cell>
        </row>
        <row r="36">
          <cell r="B36">
            <v>21177.99</v>
          </cell>
        </row>
        <row r="37">
          <cell r="B37">
            <v>621.45000000000005</v>
          </cell>
        </row>
        <row r="38">
          <cell r="B38">
            <v>5.78</v>
          </cell>
        </row>
        <row r="39">
          <cell r="B39">
            <v>10484.52</v>
          </cell>
        </row>
        <row r="40">
          <cell r="B40">
            <v>6114.23</v>
          </cell>
        </row>
        <row r="41">
          <cell r="B41">
            <v>0</v>
          </cell>
        </row>
        <row r="42">
          <cell r="B42">
            <v>3952.15</v>
          </cell>
        </row>
        <row r="43">
          <cell r="B43">
            <v>3525.08</v>
          </cell>
        </row>
        <row r="44">
          <cell r="B44">
            <v>83671.92</v>
          </cell>
        </row>
        <row r="45">
          <cell r="B45">
            <v>131.91999999999999</v>
          </cell>
        </row>
        <row r="46">
          <cell r="B46">
            <v>180.73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Фр.16-3"/>
      <sheetName val="2006"/>
      <sheetName val="2007"/>
      <sheetName val="2008"/>
      <sheetName val="2009"/>
      <sheetName val="2009 (2)"/>
      <sheetName val="2010"/>
      <sheetName val="2011"/>
      <sheetName val="2012"/>
      <sheetName val="2012УК"/>
      <sheetName val="2013"/>
      <sheetName val="2013электр"/>
      <sheetName val="2014"/>
      <sheetName val="Лист2"/>
      <sheetName val="Лист3"/>
      <sheetName val="укс"/>
      <sheetName val="укс (2)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>
            <v>5689.12</v>
          </cell>
          <cell r="N2">
            <v>63220.850999999995</v>
          </cell>
        </row>
        <row r="3">
          <cell r="B3">
            <v>5689.12</v>
          </cell>
          <cell r="N3">
            <v>63220.850999999995</v>
          </cell>
        </row>
        <row r="6">
          <cell r="B6">
            <v>10239.290000000001</v>
          </cell>
          <cell r="N6">
            <v>121484.36924000001</v>
          </cell>
        </row>
        <row r="10">
          <cell r="B10">
            <v>18592.917186400002</v>
          </cell>
          <cell r="N10">
            <v>236470.95695999998</v>
          </cell>
        </row>
        <row r="11">
          <cell r="B11">
            <v>18592.917186400002</v>
          </cell>
          <cell r="N11">
            <v>236470.95695999998</v>
          </cell>
        </row>
        <row r="14">
          <cell r="B14">
            <v>166226.16</v>
          </cell>
          <cell r="N14">
            <v>813416.12311999989</v>
          </cell>
        </row>
        <row r="15">
          <cell r="B15">
            <v>166226.16</v>
          </cell>
          <cell r="N15">
            <v>813416.12311999989</v>
          </cell>
        </row>
      </sheetData>
      <sheetData sheetId="12"/>
      <sheetData sheetId="13">
        <row r="2">
          <cell r="B2">
            <v>5692.1333000000004</v>
          </cell>
        </row>
        <row r="3">
          <cell r="B3">
            <v>5692.1333000000004</v>
          </cell>
        </row>
        <row r="6">
          <cell r="B6">
            <v>11558.398090000001</v>
          </cell>
        </row>
        <row r="10">
          <cell r="B10">
            <v>24368.634399999999</v>
          </cell>
        </row>
        <row r="11">
          <cell r="B11">
            <v>24368.634399999999</v>
          </cell>
        </row>
        <row r="14">
          <cell r="B14">
            <v>131265.72096000001</v>
          </cell>
        </row>
        <row r="15">
          <cell r="B15">
            <v>131265.72096000001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Layout" topLeftCell="A7" zoomScaleNormal="100" workbookViewId="0">
      <selection activeCell="G10" sqref="G10"/>
    </sheetView>
  </sheetViews>
  <sheetFormatPr defaultRowHeight="12.75" x14ac:dyDescent="0.2"/>
  <cols>
    <col min="1" max="1" width="4.85546875" customWidth="1"/>
    <col min="2" max="2" width="43.5703125" customWidth="1"/>
    <col min="3" max="3" width="12.28515625" customWidth="1"/>
    <col min="4" max="4" width="9" customWidth="1"/>
    <col min="5" max="5" width="4.42578125" customWidth="1"/>
    <col min="6" max="6" width="6" customWidth="1"/>
    <col min="7" max="7" width="12.42578125" customWidth="1"/>
    <col min="8" max="8" width="9.140625" customWidth="1"/>
  </cols>
  <sheetData>
    <row r="1" spans="1:12" ht="15.75" x14ac:dyDescent="0.25">
      <c r="B1" s="1" t="s">
        <v>0</v>
      </c>
      <c r="C1" s="2"/>
      <c r="D1" s="2"/>
      <c r="E1" s="2"/>
    </row>
    <row r="2" spans="1:12" ht="15.75" x14ac:dyDescent="0.25">
      <c r="B2" s="3" t="s">
        <v>1</v>
      </c>
      <c r="C2" s="2"/>
      <c r="D2" s="2"/>
      <c r="E2" s="2"/>
      <c r="F2" s="2"/>
    </row>
    <row r="3" spans="1:12" ht="16.5" thickBot="1" x14ac:dyDescent="0.3">
      <c r="B3" s="1" t="s">
        <v>75</v>
      </c>
      <c r="C3" s="4"/>
      <c r="D3" s="4"/>
      <c r="E3" s="2"/>
      <c r="F3" s="2"/>
    </row>
    <row r="4" spans="1:12" ht="68.25" thickBot="1" x14ac:dyDescent="0.25">
      <c r="A4" s="128" t="s">
        <v>3</v>
      </c>
      <c r="B4" s="6" t="s">
        <v>4</v>
      </c>
      <c r="C4" s="7" t="s">
        <v>5</v>
      </c>
      <c r="D4" s="58" t="s">
        <v>76</v>
      </c>
      <c r="E4" s="8" t="s">
        <v>6</v>
      </c>
      <c r="F4" s="129" t="s">
        <v>77</v>
      </c>
      <c r="G4" s="130" t="s">
        <v>78</v>
      </c>
      <c r="H4" s="131" t="s">
        <v>79</v>
      </c>
    </row>
    <row r="5" spans="1:12" ht="13.5" thickBot="1" x14ac:dyDescent="0.25">
      <c r="A5" s="10"/>
      <c r="B5" s="165" t="s">
        <v>8</v>
      </c>
      <c r="C5" s="166"/>
      <c r="D5" s="166"/>
      <c r="E5" s="166"/>
      <c r="F5" s="166"/>
      <c r="G5" s="130"/>
      <c r="H5" s="131"/>
    </row>
    <row r="6" spans="1:12" ht="26.25" customHeight="1" x14ac:dyDescent="0.2">
      <c r="A6" s="11">
        <v>1</v>
      </c>
      <c r="B6" s="12" t="s">
        <v>80</v>
      </c>
      <c r="C6" s="13">
        <v>18000</v>
      </c>
      <c r="D6" s="132" t="s">
        <v>81</v>
      </c>
      <c r="E6" s="14" t="s">
        <v>10</v>
      </c>
      <c r="F6" s="133">
        <f>C6/2625.1/12</f>
        <v>0.5714068035503409</v>
      </c>
      <c r="G6" s="130">
        <f>185.44+1770+21849</f>
        <v>23804.44</v>
      </c>
      <c r="H6" s="134">
        <f t="shared" ref="H6:H18" si="0">G6-C6</f>
        <v>5804.4399999999987</v>
      </c>
    </row>
    <row r="7" spans="1:12" ht="25.5" x14ac:dyDescent="0.2">
      <c r="A7" s="11">
        <v>2</v>
      </c>
      <c r="B7" s="16" t="s">
        <v>11</v>
      </c>
      <c r="C7" s="17">
        <v>2000</v>
      </c>
      <c r="D7" s="135" t="s">
        <v>82</v>
      </c>
      <c r="E7" s="18" t="s">
        <v>10</v>
      </c>
      <c r="F7" s="133">
        <f>C7/2625.1/12</f>
        <v>6.3489644838926773E-2</v>
      </c>
      <c r="G7" s="130">
        <v>14373</v>
      </c>
      <c r="H7" s="134">
        <f t="shared" si="0"/>
        <v>12373</v>
      </c>
    </row>
    <row r="8" spans="1:12" ht="24" customHeight="1" x14ac:dyDescent="0.2">
      <c r="A8" s="11">
        <v>3</v>
      </c>
      <c r="B8" s="19" t="s">
        <v>12</v>
      </c>
      <c r="C8" s="17">
        <v>2000</v>
      </c>
      <c r="D8" s="135" t="s">
        <v>83</v>
      </c>
      <c r="E8" s="18" t="s">
        <v>10</v>
      </c>
      <c r="F8" s="133">
        <f>C8/2625.1/12</f>
        <v>6.3489644838926773E-2</v>
      </c>
      <c r="G8" s="130"/>
      <c r="H8" s="136">
        <f t="shared" si="0"/>
        <v>-2000</v>
      </c>
      <c r="L8" s="158"/>
    </row>
    <row r="9" spans="1:12" x14ac:dyDescent="0.2">
      <c r="A9" s="11">
        <v>4</v>
      </c>
      <c r="B9" s="12" t="s">
        <v>13</v>
      </c>
      <c r="C9" s="17">
        <v>6500</v>
      </c>
      <c r="D9" s="135" t="s">
        <v>84</v>
      </c>
      <c r="E9" s="18" t="s">
        <v>10</v>
      </c>
      <c r="F9" s="133">
        <f>C9/2625.1/12</f>
        <v>0.206341345726512</v>
      </c>
      <c r="G9" s="130" t="s">
        <v>85</v>
      </c>
      <c r="H9" s="136"/>
      <c r="L9" s="158"/>
    </row>
    <row r="10" spans="1:12" ht="13.5" thickBot="1" x14ac:dyDescent="0.25">
      <c r="A10" s="11"/>
      <c r="B10" s="23" t="s">
        <v>16</v>
      </c>
      <c r="C10" s="24">
        <f>SUM(C6:C9)</f>
        <v>28500</v>
      </c>
      <c r="D10" s="24"/>
      <c r="E10" s="25"/>
      <c r="F10" s="133">
        <f>C10/2625.1/12</f>
        <v>0.90472743895470653</v>
      </c>
      <c r="G10" s="24">
        <f>SUM(G6:G9)</f>
        <v>38177.440000000002</v>
      </c>
      <c r="H10" s="137">
        <f t="shared" si="0"/>
        <v>9677.4400000000023</v>
      </c>
      <c r="L10" s="159"/>
    </row>
    <row r="11" spans="1:12" ht="13.5" thickBot="1" x14ac:dyDescent="0.25">
      <c r="A11" s="10"/>
      <c r="B11" s="165" t="s">
        <v>17</v>
      </c>
      <c r="C11" s="166"/>
      <c r="D11" s="166"/>
      <c r="E11" s="166"/>
      <c r="F11" s="166"/>
      <c r="G11" s="130"/>
      <c r="H11" s="137">
        <f t="shared" si="0"/>
        <v>0</v>
      </c>
    </row>
    <row r="12" spans="1:12" ht="25.5" x14ac:dyDescent="0.2">
      <c r="A12" s="11">
        <v>5</v>
      </c>
      <c r="B12" s="26" t="s">
        <v>18</v>
      </c>
      <c r="C12" s="138">
        <v>4000</v>
      </c>
      <c r="D12" s="139" t="s">
        <v>86</v>
      </c>
      <c r="E12" s="28" t="s">
        <v>15</v>
      </c>
      <c r="F12" s="140">
        <f>C12/2625.1/12</f>
        <v>0.12697928967785355</v>
      </c>
      <c r="G12" s="130"/>
      <c r="H12" s="136">
        <f t="shared" si="0"/>
        <v>-4000</v>
      </c>
    </row>
    <row r="13" spans="1:12" x14ac:dyDescent="0.2">
      <c r="A13" s="11">
        <v>6</v>
      </c>
      <c r="B13" s="30" t="s">
        <v>19</v>
      </c>
      <c r="C13" s="31">
        <v>4500</v>
      </c>
      <c r="D13" s="60" t="s">
        <v>87</v>
      </c>
      <c r="E13" s="18" t="s">
        <v>10</v>
      </c>
      <c r="F13" s="140">
        <f>C13/2625.1/12</f>
        <v>0.14285170088758523</v>
      </c>
      <c r="G13" s="130" t="s">
        <v>85</v>
      </c>
      <c r="H13" s="136"/>
    </row>
    <row r="14" spans="1:12" x14ac:dyDescent="0.2">
      <c r="A14" s="11"/>
      <c r="B14" s="32" t="s">
        <v>16</v>
      </c>
      <c r="C14" s="33">
        <f>SUM(C12:C13)</f>
        <v>8500</v>
      </c>
      <c r="D14" s="33"/>
      <c r="E14" s="34"/>
      <c r="F14" s="140">
        <f>C14/2625.1/12</f>
        <v>0.2698309905654388</v>
      </c>
      <c r="G14" s="33">
        <f>SUM(G12:G13)</f>
        <v>0</v>
      </c>
      <c r="H14" s="136">
        <f t="shared" si="0"/>
        <v>-8500</v>
      </c>
    </row>
    <row r="15" spans="1:12" x14ac:dyDescent="0.2">
      <c r="A15" s="11"/>
      <c r="B15" s="167" t="s">
        <v>20</v>
      </c>
      <c r="C15" s="168"/>
      <c r="D15" s="168"/>
      <c r="E15" s="168"/>
      <c r="F15" s="168"/>
      <c r="G15" s="130"/>
      <c r="H15" s="137">
        <f t="shared" si="0"/>
        <v>0</v>
      </c>
    </row>
    <row r="16" spans="1:12" ht="15" customHeight="1" x14ac:dyDescent="0.2">
      <c r="A16" s="11">
        <v>8</v>
      </c>
      <c r="B16" s="38" t="s">
        <v>88</v>
      </c>
      <c r="C16" s="36">
        <v>1500</v>
      </c>
      <c r="D16" s="141" t="s">
        <v>89</v>
      </c>
      <c r="E16" s="18" t="s">
        <v>10</v>
      </c>
      <c r="F16" s="142">
        <f>C16/2625.1/12</f>
        <v>4.7617233629195087E-2</v>
      </c>
      <c r="G16" s="130">
        <f>1603+4598+919.6</f>
        <v>7120.6</v>
      </c>
      <c r="H16" s="134">
        <f t="shared" si="0"/>
        <v>5620.6</v>
      </c>
    </row>
    <row r="17" spans="1:11" x14ac:dyDescent="0.2">
      <c r="A17" s="11"/>
      <c r="B17" s="32" t="s">
        <v>16</v>
      </c>
      <c r="C17" s="33">
        <f>SUM(C16:C16)</f>
        <v>1500</v>
      </c>
      <c r="D17" s="33"/>
      <c r="E17" s="34"/>
      <c r="F17" s="142">
        <f>C17/2625.1/12</f>
        <v>4.7617233629195087E-2</v>
      </c>
      <c r="G17" s="33">
        <f>SUM(G16:G16)</f>
        <v>7120.6</v>
      </c>
      <c r="H17" s="137">
        <f t="shared" si="0"/>
        <v>5620.6</v>
      </c>
    </row>
    <row r="18" spans="1:11" x14ac:dyDescent="0.2">
      <c r="A18" s="11"/>
      <c r="B18" s="169" t="s">
        <v>23</v>
      </c>
      <c r="C18" s="170"/>
      <c r="D18" s="170"/>
      <c r="E18" s="170"/>
      <c r="F18" s="170"/>
      <c r="G18" s="130"/>
      <c r="H18" s="137">
        <f t="shared" si="0"/>
        <v>0</v>
      </c>
    </row>
    <row r="19" spans="1:11" ht="25.5" x14ac:dyDescent="0.2">
      <c r="A19" s="11">
        <v>9</v>
      </c>
      <c r="B19" s="32" t="s">
        <v>90</v>
      </c>
      <c r="C19" s="41">
        <v>34750</v>
      </c>
      <c r="D19" s="143" t="s">
        <v>91</v>
      </c>
      <c r="E19" s="18" t="s">
        <v>10</v>
      </c>
      <c r="F19" s="142">
        <f>C19/2625.1/12</f>
        <v>1.1031325790763526</v>
      </c>
      <c r="G19" s="130">
        <f>19304+3860.8+9652+1930.4+63.6</f>
        <v>34810.800000000003</v>
      </c>
      <c r="H19" s="134">
        <f>G19-C19</f>
        <v>60.80000000000291</v>
      </c>
      <c r="J19" s="144"/>
    </row>
    <row r="20" spans="1:11" ht="25.5" x14ac:dyDescent="0.2">
      <c r="A20" s="11">
        <v>10</v>
      </c>
      <c r="B20" s="32" t="s">
        <v>25</v>
      </c>
      <c r="C20" s="41">
        <f>24000*1.2</f>
        <v>28800</v>
      </c>
      <c r="D20" s="143" t="s">
        <v>91</v>
      </c>
      <c r="E20" s="18" t="s">
        <v>10</v>
      </c>
      <c r="F20" s="142">
        <f>C20/2625.1/12</f>
        <v>0.91425088568054547</v>
      </c>
      <c r="G20" s="130">
        <f>4000+22990+4598</f>
        <v>31588</v>
      </c>
      <c r="H20" s="134">
        <f t="shared" ref="H20:H31" si="1">G20-C20</f>
        <v>2788</v>
      </c>
    </row>
    <row r="21" spans="1:11" ht="13.5" thickBot="1" x14ac:dyDescent="0.25">
      <c r="A21" s="11"/>
      <c r="B21" s="23" t="s">
        <v>16</v>
      </c>
      <c r="C21" s="24">
        <f>SUM(C19:C20)</f>
        <v>63550</v>
      </c>
      <c r="D21" s="24"/>
      <c r="E21" s="25"/>
      <c r="F21" s="142">
        <f>C21/2625.1/12</f>
        <v>2.017383464756898</v>
      </c>
      <c r="G21" s="24">
        <f>SUM(G19:G20)</f>
        <v>66398.8</v>
      </c>
      <c r="H21" s="137">
        <f t="shared" si="1"/>
        <v>2848.8000000000029</v>
      </c>
    </row>
    <row r="22" spans="1:11" ht="13.5" thickBot="1" x14ac:dyDescent="0.25">
      <c r="A22" s="59"/>
      <c r="B22" s="171" t="s">
        <v>26</v>
      </c>
      <c r="C22" s="172"/>
      <c r="D22" s="172"/>
      <c r="E22" s="172"/>
      <c r="F22" s="172"/>
      <c r="G22" s="130"/>
      <c r="H22" s="137">
        <f t="shared" si="1"/>
        <v>0</v>
      </c>
    </row>
    <row r="23" spans="1:11" x14ac:dyDescent="0.2">
      <c r="A23" s="11">
        <v>11</v>
      </c>
      <c r="B23" s="42" t="s">
        <v>27</v>
      </c>
      <c r="C23" s="43">
        <v>12326</v>
      </c>
      <c r="D23" s="145" t="s">
        <v>92</v>
      </c>
      <c r="E23" s="39" t="s">
        <v>15</v>
      </c>
      <c r="F23" s="142">
        <f>C23/2625.1/12</f>
        <v>0.39128668114230569</v>
      </c>
      <c r="G23" s="130">
        <v>12325.5</v>
      </c>
      <c r="H23" s="136">
        <f t="shared" si="1"/>
        <v>-0.5</v>
      </c>
    </row>
    <row r="24" spans="1:11" x14ac:dyDescent="0.2">
      <c r="A24" s="11">
        <v>12</v>
      </c>
      <c r="B24" s="40" t="s">
        <v>28</v>
      </c>
      <c r="C24" s="43">
        <f>1.57*2625.1*12</f>
        <v>49456.884000000005</v>
      </c>
      <c r="D24" s="43"/>
      <c r="E24" s="18" t="s">
        <v>10</v>
      </c>
      <c r="F24" s="142">
        <f t="shared" ref="F24:F34" si="2">C24/2625.1/12</f>
        <v>1.5700000000000003</v>
      </c>
      <c r="G24" s="130">
        <v>49667.38</v>
      </c>
      <c r="H24" s="134">
        <f t="shared" si="1"/>
        <v>210.49599999999191</v>
      </c>
    </row>
    <row r="25" spans="1:11" x14ac:dyDescent="0.2">
      <c r="A25" s="11">
        <v>13</v>
      </c>
      <c r="B25" s="44" t="s">
        <v>29</v>
      </c>
      <c r="C25" s="45">
        <f>12*1800</f>
        <v>21600</v>
      </c>
      <c r="D25" s="45"/>
      <c r="E25" s="18" t="s">
        <v>10</v>
      </c>
      <c r="F25" s="142">
        <f t="shared" si="2"/>
        <v>0.68568816426040913</v>
      </c>
      <c r="G25" s="130">
        <v>21600</v>
      </c>
      <c r="H25" s="137">
        <f t="shared" si="1"/>
        <v>0</v>
      </c>
    </row>
    <row r="26" spans="1:11" x14ac:dyDescent="0.2">
      <c r="A26" s="11">
        <v>14</v>
      </c>
      <c r="B26" s="32" t="s">
        <v>30</v>
      </c>
      <c r="C26" s="45">
        <f>12*3*200</f>
        <v>7200</v>
      </c>
      <c r="D26" s="45"/>
      <c r="E26" s="18" t="s">
        <v>10</v>
      </c>
      <c r="F26" s="142">
        <f t="shared" si="2"/>
        <v>0.22856272142013637</v>
      </c>
      <c r="G26" s="130">
        <v>7200</v>
      </c>
      <c r="H26" s="137">
        <f t="shared" si="1"/>
        <v>0</v>
      </c>
    </row>
    <row r="27" spans="1:11" ht="25.5" x14ac:dyDescent="0.2">
      <c r="A27" s="11">
        <v>15</v>
      </c>
      <c r="B27" s="44" t="s">
        <v>31</v>
      </c>
      <c r="C27" s="45">
        <f>0.76*12*2625.1</f>
        <v>23940.912</v>
      </c>
      <c r="D27" s="143" t="s">
        <v>91</v>
      </c>
      <c r="E27" s="18" t="s">
        <v>10</v>
      </c>
      <c r="F27" s="142">
        <f t="shared" si="2"/>
        <v>0.76000000000000012</v>
      </c>
      <c r="G27" s="130">
        <v>25095.95</v>
      </c>
      <c r="H27" s="134">
        <f t="shared" si="1"/>
        <v>1155.0380000000005</v>
      </c>
    </row>
    <row r="28" spans="1:11" ht="25.5" x14ac:dyDescent="0.2">
      <c r="A28" s="11">
        <v>16</v>
      </c>
      <c r="B28" s="46" t="s">
        <v>32</v>
      </c>
      <c r="C28" s="36">
        <f>(10.55+9)*12*54</f>
        <v>12668.400000000001</v>
      </c>
      <c r="D28" s="143" t="s">
        <v>91</v>
      </c>
      <c r="E28" s="18" t="s">
        <v>10</v>
      </c>
      <c r="F28" s="142">
        <f t="shared" si="2"/>
        <v>0.40215610833873</v>
      </c>
      <c r="G28" s="130">
        <f>5445+7030.75</f>
        <v>12475.75</v>
      </c>
      <c r="H28" s="146">
        <f t="shared" si="1"/>
        <v>-192.65000000000146</v>
      </c>
    </row>
    <row r="29" spans="1:11" x14ac:dyDescent="0.2">
      <c r="A29" s="11">
        <v>17</v>
      </c>
      <c r="B29" s="46" t="s">
        <v>33</v>
      </c>
      <c r="C29" s="47">
        <f>340*1.1*12</f>
        <v>4488.0000000000009</v>
      </c>
      <c r="D29" s="47"/>
      <c r="E29" s="18" t="s">
        <v>10</v>
      </c>
      <c r="F29" s="142">
        <f t="shared" si="2"/>
        <v>0.14247076301855172</v>
      </c>
      <c r="G29" s="130">
        <v>4398</v>
      </c>
      <c r="H29" s="136">
        <f t="shared" si="1"/>
        <v>-90.000000000000909</v>
      </c>
    </row>
    <row r="30" spans="1:11" x14ac:dyDescent="0.2">
      <c r="A30" s="11">
        <v>18</v>
      </c>
      <c r="B30" s="147" t="s">
        <v>93</v>
      </c>
      <c r="C30" s="47">
        <v>28342.06</v>
      </c>
      <c r="D30" s="47"/>
      <c r="E30" s="18" t="s">
        <v>10</v>
      </c>
      <c r="F30" s="142">
        <f t="shared" si="2"/>
        <v>0.89971366170177658</v>
      </c>
      <c r="G30" s="130"/>
      <c r="H30" s="137"/>
    </row>
    <row r="31" spans="1:11" x14ac:dyDescent="0.2">
      <c r="A31" s="11">
        <v>19</v>
      </c>
      <c r="B31" s="19" t="s">
        <v>34</v>
      </c>
      <c r="C31" s="36">
        <v>30000</v>
      </c>
      <c r="D31" s="36"/>
      <c r="E31" s="18" t="s">
        <v>10</v>
      </c>
      <c r="F31" s="142">
        <f t="shared" si="2"/>
        <v>0.95234467258390154</v>
      </c>
      <c r="G31" s="130">
        <f>1272+7961+2267.27+15000+626+816.56+434.38+7082.46</f>
        <v>35459.670000000006</v>
      </c>
      <c r="H31" s="134">
        <f t="shared" si="1"/>
        <v>5459.6700000000055</v>
      </c>
      <c r="K31" s="148"/>
    </row>
    <row r="32" spans="1:11" ht="25.5" x14ac:dyDescent="0.2">
      <c r="A32" s="48"/>
      <c r="B32" s="49" t="s">
        <v>94</v>
      </c>
      <c r="C32" s="50"/>
      <c r="D32" s="50"/>
      <c r="E32" s="51"/>
      <c r="F32" s="142"/>
      <c r="G32" s="149">
        <v>18550</v>
      </c>
      <c r="H32" s="137"/>
      <c r="K32" s="148"/>
    </row>
    <row r="33" spans="1:13" ht="13.5" thickBot="1" x14ac:dyDescent="0.25">
      <c r="A33" s="48"/>
      <c r="B33" s="23" t="s">
        <v>16</v>
      </c>
      <c r="C33" s="24">
        <f>SUM(C23:C31)</f>
        <v>190022.25599999999</v>
      </c>
      <c r="D33" s="24"/>
      <c r="E33" s="25"/>
      <c r="F33" s="142">
        <f t="shared" si="2"/>
        <v>6.0322227724658113</v>
      </c>
      <c r="G33" s="24">
        <f>SUM(G23:G32)</f>
        <v>186772.25000000003</v>
      </c>
      <c r="H33" s="137"/>
    </row>
    <row r="34" spans="1:13" ht="16.5" thickBot="1" x14ac:dyDescent="0.25">
      <c r="A34" s="52"/>
      <c r="B34" s="53" t="s">
        <v>35</v>
      </c>
      <c r="C34" s="54">
        <f>C10+C14+C17+C21+C33</f>
        <v>292072.25599999999</v>
      </c>
      <c r="D34" s="54"/>
      <c r="E34" s="54"/>
      <c r="F34" s="150">
        <f t="shared" si="2"/>
        <v>9.2717819003720496</v>
      </c>
      <c r="G34" s="54">
        <f>G10+G14+G17+G21+G33</f>
        <v>298469.09000000003</v>
      </c>
      <c r="H34" s="151"/>
      <c r="I34" s="152"/>
      <c r="J34" s="153"/>
      <c r="K34" s="154"/>
      <c r="L34" s="154"/>
      <c r="M34" s="154"/>
    </row>
    <row r="35" spans="1:13" x14ac:dyDescent="0.2">
      <c r="I35" s="154"/>
      <c r="J35" s="154"/>
      <c r="K35" s="154"/>
      <c r="L35" s="154"/>
      <c r="M35" s="154"/>
    </row>
    <row r="36" spans="1:13" x14ac:dyDescent="0.2">
      <c r="I36" s="154"/>
      <c r="J36" s="154"/>
      <c r="K36" s="155"/>
      <c r="L36" s="154"/>
      <c r="M36" s="156"/>
    </row>
    <row r="37" spans="1:13" x14ac:dyDescent="0.2">
      <c r="C37" s="61"/>
      <c r="I37" s="154"/>
      <c r="J37" s="156"/>
      <c r="K37" s="155"/>
      <c r="L37" s="154"/>
      <c r="M37" s="157"/>
    </row>
    <row r="38" spans="1:13" x14ac:dyDescent="0.2">
      <c r="I38" s="154"/>
      <c r="J38" s="154"/>
      <c r="K38" s="154"/>
      <c r="L38" s="154"/>
      <c r="M38" s="154"/>
    </row>
  </sheetData>
  <mergeCells count="5">
    <mergeCell ref="B5:F5"/>
    <mergeCell ref="B11:F11"/>
    <mergeCell ref="B15:F15"/>
    <mergeCell ref="B18:F18"/>
    <mergeCell ref="B22:F22"/>
  </mergeCells>
  <pageMargins left="0.19791666666666666" right="0.11458333333333333" top="0.14583333333333334" bottom="0.1458333333333333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3"/>
  <sheetViews>
    <sheetView view="pageLayout" topLeftCell="A10" zoomScale="75" zoomScaleNormal="85" zoomScalePageLayoutView="75" workbookViewId="0">
      <selection activeCell="K7" sqref="K7:M22"/>
    </sheetView>
  </sheetViews>
  <sheetFormatPr defaultRowHeight="12.75" x14ac:dyDescent="0.2"/>
  <cols>
    <col min="1" max="1" width="26" style="62" customWidth="1"/>
    <col min="2" max="2" width="4" style="62" customWidth="1"/>
    <col min="3" max="3" width="19" style="62" customWidth="1"/>
    <col min="4" max="4" width="16" style="62" customWidth="1"/>
    <col min="5" max="5" width="16.28515625" style="62" bestFit="1" customWidth="1"/>
    <col min="6" max="6" width="16.140625" style="62" customWidth="1"/>
    <col min="7" max="7" width="15.7109375" style="62" customWidth="1"/>
    <col min="8" max="8" width="17" style="62" customWidth="1"/>
    <col min="9" max="9" width="16.140625" style="62" customWidth="1"/>
    <col min="10" max="10" width="7.5703125" style="62" customWidth="1"/>
    <col min="11" max="16384" width="9.140625" style="62"/>
  </cols>
  <sheetData>
    <row r="1" spans="1:10" ht="15.75" x14ac:dyDescent="0.25">
      <c r="B1" s="63"/>
      <c r="D1" s="64" t="s">
        <v>36</v>
      </c>
      <c r="E1" s="63"/>
      <c r="F1" s="63"/>
    </row>
    <row r="2" spans="1:10" ht="15.75" x14ac:dyDescent="0.25">
      <c r="B2" s="63"/>
      <c r="D2" s="64" t="s">
        <v>37</v>
      </c>
      <c r="E2" s="63"/>
      <c r="F2" s="63"/>
    </row>
    <row r="3" spans="1:10" ht="15.75" x14ac:dyDescent="0.25">
      <c r="B3" s="63"/>
      <c r="D3" s="64" t="s">
        <v>38</v>
      </c>
      <c r="E3" s="63"/>
      <c r="F3" s="63"/>
    </row>
    <row r="4" spans="1:10" ht="15.75" x14ac:dyDescent="0.25">
      <c r="B4" s="63"/>
      <c r="D4" s="64" t="s">
        <v>39</v>
      </c>
      <c r="E4" s="63"/>
      <c r="F4" s="63"/>
    </row>
    <row r="5" spans="1:10" ht="18" x14ac:dyDescent="0.25">
      <c r="A5" s="65" t="s">
        <v>40</v>
      </c>
      <c r="B5" s="65"/>
      <c r="C5" s="66"/>
      <c r="E5" s="67">
        <f>'[1]отчет 2012 (2)'!G23</f>
        <v>67444.64000000013</v>
      </c>
      <c r="F5" s="68">
        <f>'[1]отчет 2012 (2)'!G24</f>
        <v>121151.86999999988</v>
      </c>
      <c r="G5" s="69" t="s">
        <v>41</v>
      </c>
      <c r="H5" s="66"/>
      <c r="I5" s="66"/>
    </row>
    <row r="6" spans="1:10" ht="18.75" thickBot="1" x14ac:dyDescent="0.3">
      <c r="A6" s="65" t="s">
        <v>42</v>
      </c>
      <c r="B6" s="65"/>
      <c r="C6" s="66"/>
      <c r="E6" s="70">
        <f>'[1]отчет 2012 (2)'!G27</f>
        <v>28342.059999999918</v>
      </c>
      <c r="F6" s="71"/>
      <c r="G6" s="66"/>
      <c r="H6" s="66"/>
      <c r="I6" s="66"/>
    </row>
    <row r="7" spans="1:10" ht="90" customHeight="1" x14ac:dyDescent="0.25">
      <c r="A7" s="72" t="s">
        <v>43</v>
      </c>
      <c r="B7" s="73" t="s">
        <v>44</v>
      </c>
      <c r="C7" s="73" t="s">
        <v>45</v>
      </c>
      <c r="D7" s="73" t="s">
        <v>46</v>
      </c>
      <c r="E7" s="74" t="s">
        <v>47</v>
      </c>
      <c r="F7" s="74" t="s">
        <v>48</v>
      </c>
      <c r="G7" s="75" t="s">
        <v>49</v>
      </c>
      <c r="H7" s="75" t="s">
        <v>50</v>
      </c>
      <c r="I7" s="76" t="s">
        <v>51</v>
      </c>
    </row>
    <row r="8" spans="1:10" x14ac:dyDescent="0.2">
      <c r="A8" s="77">
        <v>1</v>
      </c>
      <c r="B8" s="78">
        <v>2</v>
      </c>
      <c r="C8" s="78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9">
        <v>9</v>
      </c>
    </row>
    <row r="9" spans="1:10" ht="18.75" x14ac:dyDescent="0.3">
      <c r="A9" s="80" t="s">
        <v>52</v>
      </c>
      <c r="B9" s="81">
        <v>1</v>
      </c>
      <c r="C9" s="82">
        <f>D9</f>
        <v>298468.95</v>
      </c>
      <c r="D9" s="82">
        <f>25095.95+21600+7200+185.44+1272+7961+1770+(65740-9196)+2330.87+1603+(13148-1839.2)+12325.5+4398+15000+21849+14373+626+4000+816.56+5445+7030.75+434.24+49667.38+7082.46+18550</f>
        <v>298468.95</v>
      </c>
      <c r="E9" s="83">
        <f>[2]начислено!$U$37-[2]начислено!$B$37+[2]начислено!$U$40-[2]начислено!$B$40+[3]начислено!$B$29-E21</f>
        <v>310726.75</v>
      </c>
      <c r="F9" s="84"/>
      <c r="G9" s="82">
        <f>[2]оплата!$U$41-[2]оплата!$B$41+[2]оплата!$U$44-[2]оплата!$B$44+[2]оплата!$U$38-[2]оплата!$B$38+[3]оплата!$B$32+[3]оплата!$B$35+[3]оплата!$B$38-G21</f>
        <v>296688.97000000003</v>
      </c>
      <c r="H9" s="85"/>
      <c r="I9" s="86">
        <f>D9-E9</f>
        <v>-12257.799999999988</v>
      </c>
      <c r="J9" s="87"/>
    </row>
    <row r="10" spans="1:10" ht="18" x14ac:dyDescent="0.25">
      <c r="A10" s="80" t="s">
        <v>53</v>
      </c>
      <c r="B10" s="81">
        <v>3</v>
      </c>
      <c r="C10" s="82">
        <f>'[4]2013'!$N$10-'[4]2013'!$B$10+'[4]2014'!$B$10</f>
        <v>242246.67417359998</v>
      </c>
      <c r="D10" s="82">
        <f>'[4]2013'!$N$11-'[4]2013'!$B$11+'[4]2014'!$B$11</f>
        <v>242246.67417359998</v>
      </c>
      <c r="E10" s="88">
        <f>[3]начислено!$B$30</f>
        <v>22321.33</v>
      </c>
      <c r="F10" s="88">
        <f>[2]начислено!$U$38-[2]начислено!$B$38</f>
        <v>210496.08</v>
      </c>
      <c r="G10" s="82">
        <f>[3]оплата!$B$36</f>
        <v>21177.99</v>
      </c>
      <c r="H10" s="82">
        <f>[2]оплата!$U$42-[2]оплата!$B$42</f>
        <v>205337.42</v>
      </c>
      <c r="I10" s="86">
        <f>D10-E10-F10</f>
        <v>9429.2641735999787</v>
      </c>
      <c r="J10" s="87"/>
    </row>
    <row r="11" spans="1:10" ht="18.75" x14ac:dyDescent="0.3">
      <c r="A11" s="80" t="s">
        <v>54</v>
      </c>
      <c r="B11" s="81">
        <v>4</v>
      </c>
      <c r="C11" s="82">
        <f>'[4]2013'!$N$6-'[4]2013'!$B$6+'[4]2014'!$B$6</f>
        <v>122803.47733000002</v>
      </c>
      <c r="D11" s="82">
        <v>113737.45</v>
      </c>
      <c r="E11" s="88">
        <f>[2]начислено!$U$41-[2]начислено!$B$41+[3]начислено!$B$31</f>
        <v>112307</v>
      </c>
      <c r="F11" s="89"/>
      <c r="G11" s="82">
        <f>[2]оплата!$U$45-[2]оплата!$B$45+[3]оплата!$B$39</f>
        <v>114297.51000000001</v>
      </c>
      <c r="H11" s="90"/>
      <c r="I11" s="86">
        <f t="shared" ref="I11:I21" si="0">D11-E11</f>
        <v>1430.4499999999971</v>
      </c>
      <c r="J11" s="87"/>
    </row>
    <row r="12" spans="1:10" ht="18.75" x14ac:dyDescent="0.3">
      <c r="A12" s="80" t="s">
        <v>55</v>
      </c>
      <c r="B12" s="81">
        <v>5</v>
      </c>
      <c r="C12" s="82">
        <f>'[4]2013'!$N$2-'[4]2013'!$B$2+'[4]2014'!$B$2</f>
        <v>63223.864299999994</v>
      </c>
      <c r="D12" s="82">
        <f>'[4]2013'!$N$3-'[4]2013'!$B$3+'[4]2014'!$B$3</f>
        <v>63223.864299999994</v>
      </c>
      <c r="E12" s="88">
        <f>[2]начислено!$U$42-[2]начислено!$B$42+[3]начислено!$B$32</f>
        <v>63390.39</v>
      </c>
      <c r="F12" s="89"/>
      <c r="G12" s="91">
        <f>[2]оплата!$U$46-[2]оплата!$B$46+[3]оплата!$B$40</f>
        <v>63947.97</v>
      </c>
      <c r="H12" s="90"/>
      <c r="I12" s="86">
        <f t="shared" si="0"/>
        <v>-166.5257000000056</v>
      </c>
      <c r="J12" s="87"/>
    </row>
    <row r="13" spans="1:10" ht="18.75" x14ac:dyDescent="0.3">
      <c r="A13" s="80" t="s">
        <v>56</v>
      </c>
      <c r="B13" s="81">
        <v>6</v>
      </c>
      <c r="C13" s="82">
        <f>D13</f>
        <v>43319.57</v>
      </c>
      <c r="D13" s="82">
        <v>43319.57</v>
      </c>
      <c r="E13" s="88">
        <f>[2]начислено!$U$45-[2]начислено!$B$45+[3]начислено!$B$34</f>
        <v>39780.25</v>
      </c>
      <c r="F13" s="89"/>
      <c r="G13" s="91">
        <f>[2]оплата!$U$49-[2]оплата!$B$49+[3]оплата!$B$43</f>
        <v>39934.14</v>
      </c>
      <c r="H13" s="90"/>
      <c r="I13" s="86">
        <f t="shared" si="0"/>
        <v>3539.3199999999997</v>
      </c>
      <c r="J13" s="87"/>
    </row>
    <row r="14" spans="1:10" ht="18" x14ac:dyDescent="0.25">
      <c r="A14" s="80" t="s">
        <v>57</v>
      </c>
      <c r="B14" s="81">
        <v>7</v>
      </c>
      <c r="C14" s="92">
        <f>'[4]2013'!$N$14-'[4]2013'!$B$14+'[4]2014'!$B$14</f>
        <v>778455.6840799998</v>
      </c>
      <c r="D14" s="92">
        <f>'[4]2013'!$N$15-'[4]2013'!$B$15+'[4]2014'!$B$15</f>
        <v>778455.6840799998</v>
      </c>
      <c r="E14" s="88">
        <f>[3]начислено!$B$35</f>
        <v>79260.83</v>
      </c>
      <c r="F14" s="88">
        <f>[2]начислено!$U$46-[2]начислено!$B$46</f>
        <v>809696.6399999999</v>
      </c>
      <c r="G14" s="82">
        <f>[3]оплата!$B$44</f>
        <v>83671.92</v>
      </c>
      <c r="H14" s="82">
        <f>[2]оплата!$U$50-[2]оплата!$B$50</f>
        <v>805510.52</v>
      </c>
      <c r="I14" s="86">
        <f>D14-E14-F14</f>
        <v>-110501.78592000005</v>
      </c>
      <c r="J14" s="87"/>
    </row>
    <row r="15" spans="1:10" ht="18.75" x14ac:dyDescent="0.3">
      <c r="A15" s="80" t="s">
        <v>58</v>
      </c>
      <c r="B15" s="81">
        <v>8</v>
      </c>
      <c r="C15" s="82">
        <f>D15</f>
        <v>0</v>
      </c>
      <c r="D15" s="82">
        <v>0</v>
      </c>
      <c r="E15" s="88">
        <v>0</v>
      </c>
      <c r="F15" s="89"/>
      <c r="G15" s="91">
        <f>[2]оплата!$U$47-[2]оплата!$B$47+[3]оплата!$B$41</f>
        <v>29.710000000000004</v>
      </c>
      <c r="H15" s="90"/>
      <c r="I15" s="86">
        <f t="shared" si="0"/>
        <v>0</v>
      </c>
      <c r="J15" s="87"/>
    </row>
    <row r="16" spans="1:10" ht="18.75" x14ac:dyDescent="0.3">
      <c r="A16" s="80" t="s">
        <v>59</v>
      </c>
      <c r="B16" s="81">
        <v>9</v>
      </c>
      <c r="C16" s="82">
        <f>D16</f>
        <v>49728</v>
      </c>
      <c r="D16" s="82">
        <v>49728</v>
      </c>
      <c r="E16" s="88">
        <f>[2]начислено!$U$44-[2]начислено!$B$44+[3]начислено!$B$33</f>
        <v>49728</v>
      </c>
      <c r="F16" s="89"/>
      <c r="G16" s="91">
        <f>[2]оплата!$U$48-[2]оплата!$B$48+[3]оплата!$B$42</f>
        <v>50351.48</v>
      </c>
      <c r="H16" s="90"/>
      <c r="I16" s="86">
        <f t="shared" si="0"/>
        <v>0</v>
      </c>
      <c r="J16" s="87"/>
    </row>
    <row r="17" spans="1:10" ht="18.75" x14ac:dyDescent="0.3">
      <c r="A17" s="80" t="s">
        <v>60</v>
      </c>
      <c r="B17" s="81">
        <v>10</v>
      </c>
      <c r="C17" s="82">
        <f>D17</f>
        <v>1293.5</v>
      </c>
      <c r="D17" s="82">
        <v>1293.5</v>
      </c>
      <c r="E17" s="88">
        <f>[2]начислено!$U$47-[2]начислено!$B$47+[3]начислено!$B$36</f>
        <v>1189.5</v>
      </c>
      <c r="F17" s="89"/>
      <c r="G17" s="82">
        <f>[2]оплата!$U$51-[2]оплата!$B$51+[3]оплата!$B$45</f>
        <v>1203.9000000000001</v>
      </c>
      <c r="H17" s="90"/>
      <c r="I17" s="86">
        <f t="shared" si="0"/>
        <v>104</v>
      </c>
      <c r="J17" s="87"/>
    </row>
    <row r="18" spans="1:10" ht="18.75" x14ac:dyDescent="0.3">
      <c r="A18" s="93" t="s">
        <v>61</v>
      </c>
      <c r="B18" s="94">
        <v>11</v>
      </c>
      <c r="C18" s="95">
        <f>D18</f>
        <v>22501.119999999999</v>
      </c>
      <c r="D18" s="95">
        <v>22501.119999999999</v>
      </c>
      <c r="E18" s="88">
        <f>[2]начислено!$U$36-[2]начислено!$B$36</f>
        <v>22501.49</v>
      </c>
      <c r="F18" s="89"/>
      <c r="G18" s="82">
        <f>[2]оплата!$U$39-[2]оплата!$B$39+[3]оплата!$B$33</f>
        <v>27485.279999999999</v>
      </c>
      <c r="H18" s="90"/>
      <c r="I18" s="86">
        <f t="shared" si="0"/>
        <v>-0.37000000000261934</v>
      </c>
      <c r="J18" s="87"/>
    </row>
    <row r="19" spans="1:10" ht="18.75" x14ac:dyDescent="0.3">
      <c r="A19" s="93" t="s">
        <v>62</v>
      </c>
      <c r="B19" s="94">
        <v>12</v>
      </c>
      <c r="C19" s="95">
        <f>D19</f>
        <v>9482.6200000000008</v>
      </c>
      <c r="D19" s="95">
        <v>9482.6200000000008</v>
      </c>
      <c r="E19" s="88">
        <f>[2]начислено!$U$35-[2]начислено!$B$35+[3]начислено!$B$28</f>
        <v>9482.619999999999</v>
      </c>
      <c r="F19" s="89"/>
      <c r="G19" s="82">
        <f>[2]оплата!$U$43-[2]оплата!$B$43+[3]оплата!$B$37</f>
        <v>8117.09</v>
      </c>
      <c r="H19" s="90"/>
      <c r="I19" s="86">
        <f t="shared" si="0"/>
        <v>0</v>
      </c>
      <c r="J19" s="87"/>
    </row>
    <row r="20" spans="1:10" ht="18.75" x14ac:dyDescent="0.3">
      <c r="A20" s="96" t="s">
        <v>63</v>
      </c>
      <c r="B20" s="94">
        <v>13</v>
      </c>
      <c r="C20" s="95">
        <f>E20</f>
        <v>699.56999999999994</v>
      </c>
      <c r="D20" s="95">
        <f>E20</f>
        <v>699.56999999999994</v>
      </c>
      <c r="E20" s="88">
        <f>[2]начислено!$U$48-[2]начислено!$B$48+[3]начислено!$B$37</f>
        <v>699.56999999999994</v>
      </c>
      <c r="F20" s="89"/>
      <c r="G20" s="82">
        <f>[2]оплата!$U$52-[2]оплата!$B$52+[3]оплата!$B$46</f>
        <v>614.38</v>
      </c>
      <c r="H20" s="90"/>
      <c r="I20" s="86">
        <f t="shared" si="0"/>
        <v>0</v>
      </c>
      <c r="J20" s="87"/>
    </row>
    <row r="21" spans="1:10" ht="18.75" x14ac:dyDescent="0.3">
      <c r="A21" s="96" t="s">
        <v>64</v>
      </c>
      <c r="B21" s="94">
        <v>14</v>
      </c>
      <c r="C21" s="95">
        <f>D21</f>
        <v>12686.01</v>
      </c>
      <c r="D21" s="95">
        <f>9196+1839.2+220+72+1358.81</f>
        <v>12686.01</v>
      </c>
      <c r="E21" s="97">
        <v>5650.81</v>
      </c>
      <c r="F21" s="98"/>
      <c r="G21" s="95">
        <f>E21</f>
        <v>5650.81</v>
      </c>
      <c r="H21" s="99"/>
      <c r="I21" s="86">
        <f t="shared" si="0"/>
        <v>7035.2</v>
      </c>
      <c r="J21" s="100">
        <f>G22/E22</f>
        <v>0.99460644054083924</v>
      </c>
    </row>
    <row r="22" spans="1:10" ht="18.75" thickBot="1" x14ac:dyDescent="0.3">
      <c r="A22" s="101" t="s">
        <v>65</v>
      </c>
      <c r="B22" s="102">
        <v>15</v>
      </c>
      <c r="C22" s="103">
        <f t="shared" ref="C22:H22" si="1">SUM(C9:C21)</f>
        <v>1644909.0398836001</v>
      </c>
      <c r="D22" s="103">
        <f>SUM(D9:D21)</f>
        <v>1635843.0125536001</v>
      </c>
      <c r="E22" s="103">
        <f>SUM(E9:E21)</f>
        <v>717038.53999999992</v>
      </c>
      <c r="F22" s="103">
        <f t="shared" si="1"/>
        <v>1020192.7199999999</v>
      </c>
      <c r="G22" s="103">
        <f t="shared" si="1"/>
        <v>713171.15000000014</v>
      </c>
      <c r="H22" s="103">
        <f t="shared" si="1"/>
        <v>1010847.9400000001</v>
      </c>
      <c r="I22" s="103">
        <f>SUM(I9:I21)</f>
        <v>-101388.24744640007</v>
      </c>
      <c r="J22" s="100">
        <f>H22/F22</f>
        <v>0.99084018164724819</v>
      </c>
    </row>
    <row r="23" spans="1:10" s="109" customFormat="1" ht="18.75" x14ac:dyDescent="0.3">
      <c r="A23" s="104" t="s">
        <v>66</v>
      </c>
      <c r="B23" s="105"/>
      <c r="C23" s="105"/>
      <c r="D23" s="105"/>
      <c r="E23" s="105"/>
      <c r="F23" s="105"/>
      <c r="G23" s="106">
        <f>E22-G22</f>
        <v>3867.3899999997811</v>
      </c>
      <c r="H23" s="107"/>
      <c r="I23" s="108"/>
    </row>
    <row r="24" spans="1:10" s="109" customFormat="1" ht="18" x14ac:dyDescent="0.25">
      <c r="A24" s="104" t="s">
        <v>67</v>
      </c>
      <c r="B24" s="105"/>
      <c r="C24" s="105"/>
      <c r="D24" s="105"/>
      <c r="E24" s="105"/>
      <c r="F24" s="105"/>
      <c r="G24" s="110">
        <f>F22-H22</f>
        <v>9344.7799999997951</v>
      </c>
      <c r="H24" s="111"/>
      <c r="I24" s="108"/>
    </row>
    <row r="25" spans="1:10" s="109" customFormat="1" ht="18" x14ac:dyDescent="0.25">
      <c r="A25" s="104" t="s">
        <v>68</v>
      </c>
      <c r="B25" s="105"/>
      <c r="C25" s="105"/>
      <c r="D25" s="105"/>
      <c r="E25" s="105"/>
      <c r="F25" s="105"/>
      <c r="G25" s="110">
        <f>G23+G24+E5+F5</f>
        <v>201808.67999999959</v>
      </c>
      <c r="H25" s="111"/>
      <c r="I25" s="108"/>
    </row>
    <row r="26" spans="1:10" ht="18.75" x14ac:dyDescent="0.3">
      <c r="A26" s="112" t="s">
        <v>69</v>
      </c>
      <c r="B26" s="113"/>
      <c r="C26" s="113"/>
      <c r="D26" s="113"/>
      <c r="E26" s="113"/>
      <c r="F26" s="113"/>
      <c r="G26" s="114">
        <f>I22</f>
        <v>-101388.24744640007</v>
      </c>
      <c r="H26" s="115"/>
      <c r="I26" s="108"/>
    </row>
    <row r="27" spans="1:10" s="109" customFormat="1" ht="18.75" x14ac:dyDescent="0.3">
      <c r="A27" s="116" t="s">
        <v>70</v>
      </c>
      <c r="B27" s="117"/>
      <c r="C27" s="118"/>
      <c r="D27" s="118"/>
      <c r="E27" s="118"/>
      <c r="F27" s="118"/>
      <c r="G27" s="119">
        <f>669*4</f>
        <v>2676</v>
      </c>
      <c r="H27" s="120"/>
      <c r="I27" s="108"/>
    </row>
    <row r="28" spans="1:10" s="109" customFormat="1" ht="18.75" x14ac:dyDescent="0.3">
      <c r="A28" s="116" t="s">
        <v>71</v>
      </c>
      <c r="B28" s="117"/>
      <c r="C28" s="118"/>
      <c r="D28" s="118"/>
      <c r="E28" s="118"/>
      <c r="F28" s="118"/>
      <c r="G28" s="121">
        <f>100*8+150</f>
        <v>950</v>
      </c>
      <c r="H28" s="120"/>
      <c r="I28" s="108"/>
    </row>
    <row r="29" spans="1:10" ht="18.75" x14ac:dyDescent="0.3">
      <c r="A29" s="112" t="s">
        <v>72</v>
      </c>
      <c r="B29" s="113"/>
      <c r="C29" s="113"/>
      <c r="D29" s="113"/>
      <c r="E29" s="122"/>
      <c r="F29" s="122"/>
      <c r="G29" s="123">
        <f>G26-G27-G28</f>
        <v>-105014.24744640007</v>
      </c>
      <c r="H29" s="124"/>
      <c r="I29" s="125"/>
    </row>
    <row r="30" spans="1:10" ht="15" x14ac:dyDescent="0.2">
      <c r="A30" s="126" t="s">
        <v>73</v>
      </c>
      <c r="G30" s="109" t="s">
        <v>74</v>
      </c>
      <c r="H30" s="109"/>
      <c r="I30" s="109"/>
    </row>
    <row r="31" spans="1:10" ht="15" x14ac:dyDescent="0.2">
      <c r="A31" s="127"/>
    </row>
    <row r="32" spans="1:10" ht="15" x14ac:dyDescent="0.2">
      <c r="A32" s="63"/>
    </row>
    <row r="35" spans="4:8" x14ac:dyDescent="0.2">
      <c r="D35" s="87"/>
      <c r="G35" s="87"/>
      <c r="H35" s="87"/>
    </row>
    <row r="36" spans="4:8" x14ac:dyDescent="0.2">
      <c r="D36" s="87"/>
      <c r="G36" s="87"/>
      <c r="H36" s="87"/>
    </row>
    <row r="37" spans="4:8" x14ac:dyDescent="0.2">
      <c r="D37" s="87"/>
      <c r="G37" s="87"/>
      <c r="H37" s="87"/>
    </row>
    <row r="43" spans="4:8" x14ac:dyDescent="0.2">
      <c r="G43" s="87"/>
      <c r="H43" s="87"/>
    </row>
  </sheetData>
  <pageMargins left="0.1451388888888889" right="0.26" top="0.17812500000000001" bottom="9.8958333333333329E-3" header="0.5" footer="0.3"/>
  <pageSetup paperSize="9" scale="9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Layout" topLeftCell="A15" zoomScaleNormal="100" workbookViewId="0">
      <selection activeCell="A34" sqref="A34"/>
    </sheetView>
  </sheetViews>
  <sheetFormatPr defaultRowHeight="12.75" x14ac:dyDescent="0.2"/>
  <cols>
    <col min="1" max="1" width="4.85546875" customWidth="1"/>
    <col min="2" max="2" width="44.7109375" customWidth="1"/>
    <col min="3" max="3" width="13.7109375" customWidth="1"/>
    <col min="4" max="4" width="14.85546875" customWidth="1"/>
    <col min="5" max="5" width="6.28515625" customWidth="1"/>
    <col min="6" max="6" width="11.28515625" customWidth="1"/>
  </cols>
  <sheetData>
    <row r="1" spans="1:6" ht="15.75" x14ac:dyDescent="0.25">
      <c r="B1" s="1" t="s">
        <v>0</v>
      </c>
      <c r="C1" s="2"/>
      <c r="D1" s="2"/>
      <c r="E1" s="2"/>
      <c r="F1" s="2"/>
    </row>
    <row r="2" spans="1:6" ht="15.75" x14ac:dyDescent="0.25">
      <c r="B2" s="3" t="s">
        <v>1</v>
      </c>
      <c r="C2" s="2"/>
      <c r="D2" s="2"/>
      <c r="E2" s="2"/>
      <c r="F2" s="2"/>
    </row>
    <row r="3" spans="1:6" ht="16.5" thickBot="1" x14ac:dyDescent="0.3">
      <c r="B3" s="1" t="s">
        <v>2</v>
      </c>
      <c r="C3" s="4"/>
      <c r="D3" s="4"/>
      <c r="E3" s="2"/>
      <c r="F3" s="2">
        <v>2625.4</v>
      </c>
    </row>
    <row r="4" spans="1:6" ht="36.75" customHeight="1" thickBot="1" x14ac:dyDescent="0.25">
      <c r="A4" s="5" t="s">
        <v>3</v>
      </c>
      <c r="B4" s="6" t="s">
        <v>4</v>
      </c>
      <c r="C4" s="7" t="s">
        <v>5</v>
      </c>
      <c r="D4" s="7"/>
      <c r="E4" s="8" t="s">
        <v>6</v>
      </c>
      <c r="F4" s="9" t="s">
        <v>7</v>
      </c>
    </row>
    <row r="5" spans="1:6" ht="13.5" thickBot="1" x14ac:dyDescent="0.25">
      <c r="A5" s="10"/>
      <c r="B5" s="165" t="s">
        <v>8</v>
      </c>
      <c r="C5" s="173"/>
      <c r="D5" s="173"/>
      <c r="E5" s="173"/>
      <c r="F5" s="174"/>
    </row>
    <row r="6" spans="1:6" ht="24.75" customHeight="1" x14ac:dyDescent="0.2">
      <c r="A6" s="11">
        <v>1</v>
      </c>
      <c r="B6" s="12" t="s">
        <v>9</v>
      </c>
      <c r="C6" s="13">
        <v>18000</v>
      </c>
      <c r="D6" s="13"/>
      <c r="E6" s="14" t="s">
        <v>10</v>
      </c>
      <c r="F6" s="15">
        <f>C6/2625.4/12</f>
        <v>0.57134150986516341</v>
      </c>
    </row>
    <row r="7" spans="1:6" ht="25.5" x14ac:dyDescent="0.2">
      <c r="A7" s="11">
        <v>2</v>
      </c>
      <c r="B7" s="16" t="s">
        <v>11</v>
      </c>
      <c r="C7" s="17">
        <v>6000</v>
      </c>
      <c r="D7" s="17"/>
      <c r="E7" s="18" t="s">
        <v>10</v>
      </c>
      <c r="F7" s="15">
        <f t="shared" ref="F7:F10" si="0">C7/2625.4/12</f>
        <v>0.19044716995505448</v>
      </c>
    </row>
    <row r="8" spans="1:6" ht="16.5" customHeight="1" x14ac:dyDescent="0.2">
      <c r="A8" s="11">
        <v>3</v>
      </c>
      <c r="B8" s="19" t="s">
        <v>12</v>
      </c>
      <c r="C8" s="17">
        <v>2000</v>
      </c>
      <c r="D8" s="17"/>
      <c r="E8" s="18" t="s">
        <v>10</v>
      </c>
      <c r="F8" s="15">
        <f t="shared" si="0"/>
        <v>6.3482389985018151E-2</v>
      </c>
    </row>
    <row r="9" spans="1:6" ht="16.5" customHeight="1" x14ac:dyDescent="0.2">
      <c r="A9" s="11">
        <v>4</v>
      </c>
      <c r="B9" s="12" t="s">
        <v>13</v>
      </c>
      <c r="C9" s="17">
        <v>6500</v>
      </c>
      <c r="D9" s="17"/>
      <c r="E9" s="18" t="s">
        <v>10</v>
      </c>
      <c r="F9" s="15">
        <f t="shared" si="0"/>
        <v>0.206317767451309</v>
      </c>
    </row>
    <row r="10" spans="1:6" ht="14.25" x14ac:dyDescent="0.2">
      <c r="A10" s="11">
        <v>5</v>
      </c>
      <c r="B10" s="20" t="s">
        <v>14</v>
      </c>
      <c r="C10" s="21">
        <v>36000</v>
      </c>
      <c r="D10" s="21"/>
      <c r="E10" s="22" t="s">
        <v>15</v>
      </c>
      <c r="F10" s="15">
        <f t="shared" si="0"/>
        <v>1.1426830197303268</v>
      </c>
    </row>
    <row r="11" spans="1:6" ht="13.5" thickBot="1" x14ac:dyDescent="0.25">
      <c r="A11" s="11"/>
      <c r="B11" s="23" t="s">
        <v>16</v>
      </c>
      <c r="C11" s="24">
        <f>SUM(C6:C10)</f>
        <v>68500</v>
      </c>
      <c r="D11" s="24"/>
      <c r="E11" s="25"/>
      <c r="F11" s="15">
        <f>C11/2625.4/12</f>
        <v>2.1742718569868718</v>
      </c>
    </row>
    <row r="12" spans="1:6" ht="13.5" thickBot="1" x14ac:dyDescent="0.25">
      <c r="A12" s="160"/>
      <c r="B12" s="165" t="s">
        <v>17</v>
      </c>
      <c r="C12" s="173"/>
      <c r="D12" s="173"/>
      <c r="E12" s="173"/>
      <c r="F12" s="174"/>
    </row>
    <row r="13" spans="1:6" ht="14.25" x14ac:dyDescent="0.2">
      <c r="A13" s="161">
        <v>6</v>
      </c>
      <c r="B13" s="26" t="s">
        <v>18</v>
      </c>
      <c r="C13" s="27">
        <v>12000</v>
      </c>
      <c r="D13" s="27"/>
      <c r="E13" s="28" t="s">
        <v>15</v>
      </c>
      <c r="F13" s="29">
        <f>C13/2625.4/12</f>
        <v>0.38089433991010896</v>
      </c>
    </row>
    <row r="14" spans="1:6" x14ac:dyDescent="0.2">
      <c r="A14" s="161">
        <v>7</v>
      </c>
      <c r="B14" s="30" t="s">
        <v>19</v>
      </c>
      <c r="C14" s="31">
        <v>4000</v>
      </c>
      <c r="D14" s="31"/>
      <c r="E14" s="18" t="s">
        <v>10</v>
      </c>
      <c r="F14" s="29">
        <f>C14/2625.4/12</f>
        <v>0.1269647799700363</v>
      </c>
    </row>
    <row r="15" spans="1:6" ht="14.25" x14ac:dyDescent="0.2">
      <c r="A15" s="161">
        <v>8</v>
      </c>
      <c r="B15" s="57" t="s">
        <v>95</v>
      </c>
      <c r="C15" s="31">
        <v>5000</v>
      </c>
      <c r="D15" s="31"/>
      <c r="E15" s="28" t="s">
        <v>15</v>
      </c>
      <c r="F15" s="29">
        <f>C15/2625.4/12</f>
        <v>0.15870597496254538</v>
      </c>
    </row>
    <row r="16" spans="1:6" x14ac:dyDescent="0.2">
      <c r="A16" s="161"/>
      <c r="B16" s="32" t="s">
        <v>16</v>
      </c>
      <c r="C16" s="33">
        <f>SUM(C13:C15)</f>
        <v>21000</v>
      </c>
      <c r="D16" s="33"/>
      <c r="E16" s="34"/>
      <c r="F16" s="29">
        <f>C16/2625.4/12</f>
        <v>0.66656509484269055</v>
      </c>
    </row>
    <row r="17" spans="1:6" ht="15" customHeight="1" x14ac:dyDescent="0.2">
      <c r="A17" s="161"/>
      <c r="B17" s="167" t="s">
        <v>20</v>
      </c>
      <c r="C17" s="175"/>
      <c r="D17" s="175"/>
      <c r="E17" s="175"/>
      <c r="F17" s="176"/>
    </row>
    <row r="18" spans="1:6" x14ac:dyDescent="0.2">
      <c r="A18" s="161">
        <v>9</v>
      </c>
      <c r="B18" s="35" t="s">
        <v>21</v>
      </c>
      <c r="C18" s="36">
        <f>80*49</f>
        <v>3920</v>
      </c>
      <c r="D18" s="36"/>
      <c r="E18" s="18" t="s">
        <v>10</v>
      </c>
      <c r="F18" s="37">
        <f>C18/2625.4/12</f>
        <v>0.12442548437063559</v>
      </c>
    </row>
    <row r="19" spans="1:6" x14ac:dyDescent="0.2">
      <c r="A19" s="161">
        <v>10</v>
      </c>
      <c r="B19" s="38" t="s">
        <v>22</v>
      </c>
      <c r="C19" s="36">
        <v>10000</v>
      </c>
      <c r="D19" s="36"/>
      <c r="E19" s="39" t="s">
        <v>15</v>
      </c>
      <c r="F19" s="37">
        <f>C19/2625.4/12</f>
        <v>0.31741194992509075</v>
      </c>
    </row>
    <row r="20" spans="1:6" x14ac:dyDescent="0.2">
      <c r="A20" s="161"/>
      <c r="B20" s="32" t="s">
        <v>16</v>
      </c>
      <c r="C20" s="33">
        <f>SUM(C18:C19)</f>
        <v>13920</v>
      </c>
      <c r="D20" s="33"/>
      <c r="E20" s="34"/>
      <c r="F20" s="37">
        <f>C20/2625.1/12</f>
        <v>0.44188792807893035</v>
      </c>
    </row>
    <row r="21" spans="1:6" x14ac:dyDescent="0.2">
      <c r="A21" s="161"/>
      <c r="B21" s="169" t="s">
        <v>23</v>
      </c>
      <c r="C21" s="170"/>
      <c r="D21" s="170"/>
      <c r="E21" s="170"/>
      <c r="F21" s="177"/>
    </row>
    <row r="22" spans="1:6" x14ac:dyDescent="0.2">
      <c r="A22" s="161">
        <v>11</v>
      </c>
      <c r="B22" s="40" t="s">
        <v>24</v>
      </c>
      <c r="C22" s="41">
        <v>33520</v>
      </c>
      <c r="D22" s="41"/>
      <c r="E22" s="18" t="s">
        <v>10</v>
      </c>
      <c r="F22" s="37">
        <f>C22/2625.1/12</f>
        <v>1.0640864475004126</v>
      </c>
    </row>
    <row r="23" spans="1:6" x14ac:dyDescent="0.2">
      <c r="A23" s="161">
        <v>12</v>
      </c>
      <c r="B23" s="32" t="s">
        <v>25</v>
      </c>
      <c r="C23" s="36">
        <v>24000</v>
      </c>
      <c r="D23" s="36"/>
      <c r="E23" s="18" t="s">
        <v>10</v>
      </c>
      <c r="F23" s="37">
        <f>C23/2625.1/12</f>
        <v>0.76187573806712139</v>
      </c>
    </row>
    <row r="24" spans="1:6" ht="13.5" thickBot="1" x14ac:dyDescent="0.25">
      <c r="A24" s="161"/>
      <c r="B24" s="23" t="s">
        <v>16</v>
      </c>
      <c r="C24" s="24">
        <f>SUM(C22:C23)</f>
        <v>57520</v>
      </c>
      <c r="D24" s="24"/>
      <c r="E24" s="25"/>
      <c r="F24" s="37">
        <f>C24/2625.1/12</f>
        <v>1.8259621855675341</v>
      </c>
    </row>
    <row r="25" spans="1:6" ht="13.5" thickBot="1" x14ac:dyDescent="0.25">
      <c r="A25" s="162"/>
      <c r="B25" s="171" t="s">
        <v>26</v>
      </c>
      <c r="C25" s="172"/>
      <c r="D25" s="172"/>
      <c r="E25" s="172"/>
      <c r="F25" s="178"/>
    </row>
    <row r="26" spans="1:6" x14ac:dyDescent="0.2">
      <c r="A26" s="163">
        <v>13</v>
      </c>
      <c r="B26" s="42" t="s">
        <v>27</v>
      </c>
      <c r="C26" s="43">
        <v>3600</v>
      </c>
      <c r="D26" s="43"/>
      <c r="E26" s="39" t="s">
        <v>15</v>
      </c>
      <c r="F26" s="37">
        <f>C26/2625.1/12</f>
        <v>0.11428136071006818</v>
      </c>
    </row>
    <row r="27" spans="1:6" x14ac:dyDescent="0.2">
      <c r="A27" s="161">
        <v>14</v>
      </c>
      <c r="B27" s="40" t="s">
        <v>28</v>
      </c>
      <c r="C27" s="43">
        <f>1.65*2625.1*12</f>
        <v>51976.979999999996</v>
      </c>
      <c r="D27" s="43"/>
      <c r="E27" s="18" t="s">
        <v>10</v>
      </c>
      <c r="F27" s="37">
        <f>C27/2625.1/12</f>
        <v>1.6500000000000001</v>
      </c>
    </row>
    <row r="28" spans="1:6" x14ac:dyDescent="0.2">
      <c r="A28" s="161">
        <v>15</v>
      </c>
      <c r="B28" s="44" t="s">
        <v>29</v>
      </c>
      <c r="C28" s="45">
        <f>12*1800</f>
        <v>21600</v>
      </c>
      <c r="D28" s="45"/>
      <c r="E28" s="18" t="s">
        <v>10</v>
      </c>
      <c r="F28" s="37">
        <f t="shared" ref="F28:F34" si="1">C28/2625.1/12</f>
        <v>0.68568816426040913</v>
      </c>
    </row>
    <row r="29" spans="1:6" x14ac:dyDescent="0.2">
      <c r="A29" s="161">
        <v>16</v>
      </c>
      <c r="B29" s="32" t="s">
        <v>30</v>
      </c>
      <c r="C29" s="45">
        <f>12*3*200</f>
        <v>7200</v>
      </c>
      <c r="D29" s="45"/>
      <c r="E29" s="18" t="s">
        <v>10</v>
      </c>
      <c r="F29" s="37">
        <f>C29/2625.1/12</f>
        <v>0.22856272142013637</v>
      </c>
    </row>
    <row r="30" spans="1:6" x14ac:dyDescent="0.2">
      <c r="A30" s="161">
        <v>17</v>
      </c>
      <c r="B30" s="44" t="s">
        <v>31</v>
      </c>
      <c r="C30" s="45">
        <f>0.98*12*2625.1</f>
        <v>30871.175999999999</v>
      </c>
      <c r="D30" s="45"/>
      <c r="E30" s="18" t="s">
        <v>10</v>
      </c>
      <c r="F30" s="37">
        <f t="shared" si="1"/>
        <v>0.98</v>
      </c>
    </row>
    <row r="31" spans="1:6" x14ac:dyDescent="0.2">
      <c r="A31" s="161">
        <v>18</v>
      </c>
      <c r="B31" s="46" t="s">
        <v>32</v>
      </c>
      <c r="C31" s="36">
        <f>12*12*54</f>
        <v>7776</v>
      </c>
      <c r="D31" s="36"/>
      <c r="E31" s="18" t="s">
        <v>10</v>
      </c>
      <c r="F31" s="37">
        <f t="shared" si="1"/>
        <v>0.24684773913374727</v>
      </c>
    </row>
    <row r="32" spans="1:6" x14ac:dyDescent="0.2">
      <c r="A32" s="161">
        <v>19</v>
      </c>
      <c r="B32" s="46" t="s">
        <v>33</v>
      </c>
      <c r="C32" s="47">
        <f>7.9*12*52</f>
        <v>4929.6000000000004</v>
      </c>
      <c r="D32" s="47"/>
      <c r="E32" s="18" t="s">
        <v>10</v>
      </c>
      <c r="F32" s="37">
        <f t="shared" si="1"/>
        <v>0.15648927659898673</v>
      </c>
    </row>
    <row r="33" spans="1:6" x14ac:dyDescent="0.2">
      <c r="A33" s="161">
        <v>20</v>
      </c>
      <c r="B33" s="19" t="s">
        <v>34</v>
      </c>
      <c r="C33" s="36">
        <v>20000</v>
      </c>
      <c r="D33" s="36"/>
      <c r="E33" s="18" t="s">
        <v>10</v>
      </c>
      <c r="F33" s="37">
        <f t="shared" si="1"/>
        <v>0.63489644838926773</v>
      </c>
    </row>
    <row r="34" spans="1:6" ht="13.5" thickBot="1" x14ac:dyDescent="0.25">
      <c r="A34" s="164"/>
      <c r="B34" s="23" t="s">
        <v>16</v>
      </c>
      <c r="C34" s="24">
        <f>SUM(C26:C33)</f>
        <v>147953.75599999999</v>
      </c>
      <c r="D34" s="24"/>
      <c r="E34" s="25"/>
      <c r="F34" s="37">
        <f t="shared" si="1"/>
        <v>4.6967657105126159</v>
      </c>
    </row>
    <row r="35" spans="1:6" ht="16.5" thickBot="1" x14ac:dyDescent="0.25">
      <c r="A35" s="52"/>
      <c r="B35" s="53" t="s">
        <v>35</v>
      </c>
      <c r="C35" s="54">
        <f>C11+C16+C20+C24+C34</f>
        <v>308893.75599999999</v>
      </c>
      <c r="D35" s="54"/>
      <c r="E35" s="54"/>
      <c r="F35" s="55">
        <f>C35/2625.1/12</f>
        <v>9.8057774307010526</v>
      </c>
    </row>
    <row r="36" spans="1:6" x14ac:dyDescent="0.2">
      <c r="F36" s="56"/>
    </row>
  </sheetData>
  <mergeCells count="5">
    <mergeCell ref="B5:F5"/>
    <mergeCell ref="B12:F12"/>
    <mergeCell ref="B17:F17"/>
    <mergeCell ref="B21:F21"/>
    <mergeCell ref="B25:F25"/>
  </mergeCells>
  <pageMargins left="0.19791666666666666" right="0.11458333333333333" top="0.14583333333333334" bottom="0.14583333333333334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2013 отчет сод</vt:lpstr>
      <vt:lpstr>отчет 2013</vt:lpstr>
      <vt:lpstr>на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2014-06-02T07:53:38Z</cp:lastPrinted>
  <dcterms:created xsi:type="dcterms:W3CDTF">2014-05-21T05:38:31Z</dcterms:created>
  <dcterms:modified xsi:type="dcterms:W3CDTF">2014-06-03T06:45:23Z</dcterms:modified>
</cp:coreProperties>
</file>